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8455" windowHeight="12255" tabRatio="884"/>
  </bookViews>
  <sheets>
    <sheet name="Metro Report v Meter" sheetId="25" r:id="rId1"/>
    <sheet name="Regis Overall" sheetId="23" r:id="rId2"/>
    <sheet name="Daily" sheetId="24" r:id="rId3"/>
  </sheets>
  <definedNames>
    <definedName name="_xlnm.Print_Area" localSheetId="0">'Metro Report v Meter'!$Y$25:$Y$163</definedName>
  </definedNames>
  <calcPr calcId="124519"/>
</workbook>
</file>

<file path=xl/calcChain.xml><?xml version="1.0" encoding="utf-8"?>
<calcChain xmlns="http://schemas.openxmlformats.org/spreadsheetml/2006/main">
  <c r="D158" i="25"/>
  <c r="E158" s="1"/>
  <c r="D157"/>
  <c r="E157" s="1"/>
  <c r="G162"/>
  <c r="G161"/>
  <c r="G160"/>
  <c r="G159"/>
  <c r="G158"/>
  <c r="G157"/>
  <c r="G156"/>
  <c r="D162"/>
  <c r="E162" s="1"/>
  <c r="D161"/>
  <c r="E161" s="1"/>
  <c r="D160"/>
  <c r="E160" s="1"/>
  <c r="D159"/>
  <c r="E159" s="1"/>
  <c r="D156"/>
  <c r="E156" s="1"/>
  <c r="G136"/>
  <c r="G135"/>
  <c r="G134"/>
  <c r="G133"/>
  <c r="G132"/>
  <c r="G131"/>
  <c r="D136"/>
  <c r="E136" s="1"/>
  <c r="D135"/>
  <c r="E135" s="1"/>
  <c r="D133"/>
  <c r="E133" s="1"/>
  <c r="B137"/>
  <c r="D132"/>
  <c r="E132" s="1"/>
  <c r="D134"/>
  <c r="E134" s="1"/>
  <c r="D131"/>
  <c r="E131" s="1"/>
  <c r="D112"/>
  <c r="E112" s="1"/>
  <c r="D108"/>
  <c r="E108" s="1"/>
  <c r="D90"/>
  <c r="E90" s="1"/>
  <c r="G90"/>
  <c r="D89"/>
  <c r="E89" s="1"/>
  <c r="D88"/>
  <c r="E88" s="1"/>
  <c r="D87"/>
  <c r="E87" s="1"/>
  <c r="D86"/>
  <c r="E86" s="1"/>
  <c r="D85"/>
  <c r="E85" s="1"/>
  <c r="G112"/>
  <c r="G111"/>
  <c r="G110"/>
  <c r="G109"/>
  <c r="G108"/>
  <c r="G107"/>
  <c r="D111"/>
  <c r="E111" s="1"/>
  <c r="D110"/>
  <c r="E110" s="1"/>
  <c r="D109"/>
  <c r="E109" s="1"/>
  <c r="D107"/>
  <c r="E107" s="1"/>
  <c r="G89"/>
  <c r="G88"/>
  <c r="G87"/>
  <c r="G86"/>
  <c r="G85"/>
  <c r="G84"/>
  <c r="D84"/>
  <c r="E84" s="1"/>
  <c r="F103"/>
  <c r="G103" s="1"/>
  <c r="F102"/>
  <c r="G102" s="1"/>
  <c r="F101"/>
  <c r="G101" s="1"/>
  <c r="F100"/>
  <c r="G100" s="1"/>
  <c r="F99"/>
  <c r="G99" s="1"/>
  <c r="F98"/>
  <c r="G98" s="1"/>
  <c r="F127"/>
  <c r="G127" s="1"/>
  <c r="F126"/>
  <c r="G126" s="1"/>
  <c r="F125"/>
  <c r="G125" s="1"/>
  <c r="F124"/>
  <c r="G124" s="1"/>
  <c r="F123"/>
  <c r="G123" s="1"/>
  <c r="F122"/>
  <c r="G122" s="1"/>
  <c r="F152"/>
  <c r="G152" s="1"/>
  <c r="F151"/>
  <c r="G151" s="1"/>
  <c r="F150"/>
  <c r="G150" s="1"/>
  <c r="F149"/>
  <c r="G149" s="1"/>
  <c r="F148"/>
  <c r="G148" s="1"/>
  <c r="F147"/>
  <c r="G147" s="1"/>
  <c r="F77"/>
  <c r="G77" s="1"/>
  <c r="F76"/>
  <c r="G76" s="1"/>
  <c r="G64"/>
  <c r="G63"/>
  <c r="G62"/>
  <c r="G61"/>
  <c r="G60"/>
  <c r="G59"/>
  <c r="D64"/>
  <c r="E64" s="1"/>
  <c r="F64" s="1"/>
  <c r="D62"/>
  <c r="E62" s="1"/>
  <c r="D61"/>
  <c r="E61" s="1"/>
  <c r="D60"/>
  <c r="E60" s="1"/>
  <c r="D63"/>
  <c r="E63" s="1"/>
  <c r="D59"/>
  <c r="E59" s="1"/>
  <c r="D36"/>
  <c r="E36" s="1"/>
  <c r="F52"/>
  <c r="G52" s="1"/>
  <c r="F50"/>
  <c r="G50" s="1"/>
  <c r="F146"/>
  <c r="G146" s="1"/>
  <c r="F80"/>
  <c r="G80" s="1"/>
  <c r="F79"/>
  <c r="G79" s="1"/>
  <c r="F78"/>
  <c r="G78" s="1"/>
  <c r="F75"/>
  <c r="G75" s="1"/>
  <c r="F74"/>
  <c r="G74" s="1"/>
  <c r="F55"/>
  <c r="G55" s="1"/>
  <c r="F54"/>
  <c r="G54" s="1"/>
  <c r="F53"/>
  <c r="G53" s="1"/>
  <c r="F51"/>
  <c r="G51" s="1"/>
  <c r="G40"/>
  <c r="G39"/>
  <c r="G38"/>
  <c r="G37"/>
  <c r="G36"/>
  <c r="D39"/>
  <c r="E39" s="1"/>
  <c r="B41"/>
  <c r="D40"/>
  <c r="E40" s="1"/>
  <c r="D38"/>
  <c r="E38" s="1"/>
  <c r="D37"/>
  <c r="E37" s="1"/>
  <c r="F32"/>
  <c r="G32" s="1"/>
  <c r="F31"/>
  <c r="G31" s="1"/>
  <c r="F30"/>
  <c r="G30" s="1"/>
  <c r="F29"/>
  <c r="G29" s="1"/>
  <c r="F28"/>
  <c r="G28" s="1"/>
  <c r="D317" i="24"/>
  <c r="D298"/>
  <c r="D293"/>
  <c r="D291"/>
  <c r="P273"/>
  <c r="D267"/>
  <c r="D248"/>
  <c r="D243"/>
  <c r="D241"/>
  <c r="P222"/>
  <c r="D217"/>
  <c r="D198"/>
  <c r="D193"/>
  <c r="D191"/>
  <c r="P173"/>
  <c r="D148"/>
  <c r="D167"/>
  <c r="P143"/>
  <c r="O143"/>
  <c r="N143"/>
  <c r="M143"/>
  <c r="L143"/>
  <c r="K143"/>
  <c r="J143"/>
  <c r="I143"/>
  <c r="H143"/>
  <c r="G143"/>
  <c r="F143"/>
  <c r="E143"/>
  <c r="D143"/>
  <c r="D117"/>
  <c r="D98"/>
  <c r="P72"/>
  <c r="P91" s="1"/>
  <c r="P93" s="1"/>
  <c r="D93"/>
  <c r="D91"/>
  <c r="D51"/>
  <c r="P27"/>
  <c r="P44" s="1"/>
  <c r="P46" s="1"/>
  <c r="D46"/>
  <c r="D44"/>
  <c r="P3"/>
  <c r="D3"/>
  <c r="O317"/>
  <c r="N317"/>
  <c r="M317"/>
  <c r="L317"/>
  <c r="K317"/>
  <c r="J317"/>
  <c r="I317"/>
  <c r="H317"/>
  <c r="G317"/>
  <c r="F317"/>
  <c r="E317"/>
  <c r="O316"/>
  <c r="N316"/>
  <c r="M316"/>
  <c r="L316"/>
  <c r="K316"/>
  <c r="J316"/>
  <c r="I316"/>
  <c r="H316"/>
  <c r="G316"/>
  <c r="F316"/>
  <c r="E316"/>
  <c r="D316"/>
  <c r="O315"/>
  <c r="N315"/>
  <c r="M315"/>
  <c r="L315"/>
  <c r="K315"/>
  <c r="J315"/>
  <c r="I315"/>
  <c r="H315"/>
  <c r="G315"/>
  <c r="F315"/>
  <c r="E315"/>
  <c r="D315"/>
  <c r="O314"/>
  <c r="N314"/>
  <c r="M314"/>
  <c r="L314"/>
  <c r="K314"/>
  <c r="J314"/>
  <c r="I314"/>
  <c r="H314"/>
  <c r="G314"/>
  <c r="F314"/>
  <c r="E314"/>
  <c r="D314"/>
  <c r="O313"/>
  <c r="N313"/>
  <c r="M313"/>
  <c r="L313"/>
  <c r="K313"/>
  <c r="J313"/>
  <c r="I313"/>
  <c r="H313"/>
  <c r="G313"/>
  <c r="F313"/>
  <c r="E313"/>
  <c r="D313"/>
  <c r="O312"/>
  <c r="N312"/>
  <c r="M312"/>
  <c r="L312"/>
  <c r="K312"/>
  <c r="J312"/>
  <c r="I312"/>
  <c r="H312"/>
  <c r="G312"/>
  <c r="F312"/>
  <c r="E312"/>
  <c r="D312"/>
  <c r="O311"/>
  <c r="N311"/>
  <c r="M311"/>
  <c r="L311"/>
  <c r="K311"/>
  <c r="J311"/>
  <c r="I311"/>
  <c r="H311"/>
  <c r="G311"/>
  <c r="F311"/>
  <c r="E311"/>
  <c r="D311"/>
  <c r="O310"/>
  <c r="N310"/>
  <c r="M310"/>
  <c r="L310"/>
  <c r="K310"/>
  <c r="J310"/>
  <c r="I310"/>
  <c r="H310"/>
  <c r="G310"/>
  <c r="F310"/>
  <c r="E310"/>
  <c r="D310"/>
  <c r="O309"/>
  <c r="N309"/>
  <c r="M309"/>
  <c r="L309"/>
  <c r="K309"/>
  <c r="J309"/>
  <c r="I309"/>
  <c r="H309"/>
  <c r="G309"/>
  <c r="F309"/>
  <c r="E309"/>
  <c r="D309"/>
  <c r="O308"/>
  <c r="N308"/>
  <c r="M308"/>
  <c r="L308"/>
  <c r="K308"/>
  <c r="J308"/>
  <c r="I308"/>
  <c r="H308"/>
  <c r="G308"/>
  <c r="F308"/>
  <c r="E308"/>
  <c r="D308"/>
  <c r="O307"/>
  <c r="N307"/>
  <c r="M307"/>
  <c r="L307"/>
  <c r="K307"/>
  <c r="J307"/>
  <c r="I307"/>
  <c r="H307"/>
  <c r="G307"/>
  <c r="F307"/>
  <c r="E307"/>
  <c r="D307"/>
  <c r="O306"/>
  <c r="N306"/>
  <c r="M306"/>
  <c r="L306"/>
  <c r="K306"/>
  <c r="J306"/>
  <c r="I306"/>
  <c r="H306"/>
  <c r="G306"/>
  <c r="F306"/>
  <c r="E306"/>
  <c r="D306"/>
  <c r="O305"/>
  <c r="N305"/>
  <c r="M305"/>
  <c r="L305"/>
  <c r="K305"/>
  <c r="J305"/>
  <c r="I305"/>
  <c r="H305"/>
  <c r="G305"/>
  <c r="F305"/>
  <c r="E305"/>
  <c r="D305"/>
  <c r="O304"/>
  <c r="N304"/>
  <c r="M304"/>
  <c r="L304"/>
  <c r="K304"/>
  <c r="J304"/>
  <c r="I304"/>
  <c r="H304"/>
  <c r="G304"/>
  <c r="F304"/>
  <c r="E304"/>
  <c r="D304"/>
  <c r="O303"/>
  <c r="N303"/>
  <c r="M303"/>
  <c r="L303"/>
  <c r="K303"/>
  <c r="J303"/>
  <c r="I303"/>
  <c r="H303"/>
  <c r="G303"/>
  <c r="F303"/>
  <c r="E303"/>
  <c r="D303"/>
  <c r="O302"/>
  <c r="N302"/>
  <c r="M302"/>
  <c r="L302"/>
  <c r="K302"/>
  <c r="J302"/>
  <c r="I302"/>
  <c r="H302"/>
  <c r="G302"/>
  <c r="F302"/>
  <c r="E302"/>
  <c r="D302"/>
  <c r="O301"/>
  <c r="N301"/>
  <c r="M301"/>
  <c r="L301"/>
  <c r="K301"/>
  <c r="J301"/>
  <c r="I301"/>
  <c r="H301"/>
  <c r="G301"/>
  <c r="F301"/>
  <c r="E301"/>
  <c r="D301"/>
  <c r="O300"/>
  <c r="N300"/>
  <c r="M300"/>
  <c r="L300"/>
  <c r="K300"/>
  <c r="J300"/>
  <c r="I300"/>
  <c r="H300"/>
  <c r="G300"/>
  <c r="F300"/>
  <c r="E300"/>
  <c r="D300"/>
  <c r="O299"/>
  <c r="N299"/>
  <c r="M299"/>
  <c r="L299"/>
  <c r="K299"/>
  <c r="J299"/>
  <c r="I299"/>
  <c r="H299"/>
  <c r="G299"/>
  <c r="F299"/>
  <c r="E299"/>
  <c r="D299"/>
  <c r="O298"/>
  <c r="N298"/>
  <c r="M298"/>
  <c r="L298"/>
  <c r="K298"/>
  <c r="J298"/>
  <c r="I298"/>
  <c r="H298"/>
  <c r="G298"/>
  <c r="F298"/>
  <c r="E298"/>
  <c r="P293"/>
  <c r="O293"/>
  <c r="N293"/>
  <c r="M293"/>
  <c r="L293"/>
  <c r="K293"/>
  <c r="J293"/>
  <c r="I293"/>
  <c r="H293"/>
  <c r="G293"/>
  <c r="F293"/>
  <c r="E293"/>
  <c r="P291"/>
  <c r="O291"/>
  <c r="N291"/>
  <c r="M291"/>
  <c r="L291"/>
  <c r="K291"/>
  <c r="J291"/>
  <c r="I291"/>
  <c r="H291"/>
  <c r="G291"/>
  <c r="F291"/>
  <c r="E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2"/>
  <c r="O267"/>
  <c r="N267"/>
  <c r="M267"/>
  <c r="L267"/>
  <c r="K267"/>
  <c r="J267"/>
  <c r="I267"/>
  <c r="H267"/>
  <c r="G267"/>
  <c r="F267"/>
  <c r="E267"/>
  <c r="O266"/>
  <c r="N266"/>
  <c r="M266"/>
  <c r="L266"/>
  <c r="K266"/>
  <c r="J266"/>
  <c r="I266"/>
  <c r="H266"/>
  <c r="G266"/>
  <c r="F266"/>
  <c r="E266"/>
  <c r="D266"/>
  <c r="O265"/>
  <c r="N265"/>
  <c r="M265"/>
  <c r="L265"/>
  <c r="K265"/>
  <c r="J265"/>
  <c r="I265"/>
  <c r="H265"/>
  <c r="G265"/>
  <c r="F265"/>
  <c r="E265"/>
  <c r="D265"/>
  <c r="O264"/>
  <c r="N264"/>
  <c r="M264"/>
  <c r="L264"/>
  <c r="K264"/>
  <c r="J264"/>
  <c r="I264"/>
  <c r="H264"/>
  <c r="G264"/>
  <c r="F264"/>
  <c r="E264"/>
  <c r="D264"/>
  <c r="O263"/>
  <c r="N263"/>
  <c r="M263"/>
  <c r="L263"/>
  <c r="K263"/>
  <c r="J263"/>
  <c r="I263"/>
  <c r="H263"/>
  <c r="G263"/>
  <c r="F263"/>
  <c r="E263"/>
  <c r="D263"/>
  <c r="O262"/>
  <c r="N262"/>
  <c r="M262"/>
  <c r="L262"/>
  <c r="K262"/>
  <c r="J262"/>
  <c r="I262"/>
  <c r="H262"/>
  <c r="G262"/>
  <c r="F262"/>
  <c r="E262"/>
  <c r="D262"/>
  <c r="O261"/>
  <c r="N261"/>
  <c r="M261"/>
  <c r="L261"/>
  <c r="K261"/>
  <c r="J261"/>
  <c r="I261"/>
  <c r="H261"/>
  <c r="G261"/>
  <c r="F261"/>
  <c r="E261"/>
  <c r="D261"/>
  <c r="O260"/>
  <c r="N260"/>
  <c r="M260"/>
  <c r="L260"/>
  <c r="K260"/>
  <c r="J260"/>
  <c r="I260"/>
  <c r="H260"/>
  <c r="G260"/>
  <c r="F260"/>
  <c r="E260"/>
  <c r="D260"/>
  <c r="O259"/>
  <c r="N259"/>
  <c r="M259"/>
  <c r="L259"/>
  <c r="K259"/>
  <c r="J259"/>
  <c r="I259"/>
  <c r="H259"/>
  <c r="G259"/>
  <c r="F259"/>
  <c r="E259"/>
  <c r="D259"/>
  <c r="O258"/>
  <c r="N258"/>
  <c r="M258"/>
  <c r="L258"/>
  <c r="K258"/>
  <c r="J258"/>
  <c r="I258"/>
  <c r="H258"/>
  <c r="G258"/>
  <c r="F258"/>
  <c r="E258"/>
  <c r="D258"/>
  <c r="O257"/>
  <c r="N257"/>
  <c r="M257"/>
  <c r="L257"/>
  <c r="K257"/>
  <c r="J257"/>
  <c r="I257"/>
  <c r="H257"/>
  <c r="G257"/>
  <c r="F257"/>
  <c r="E257"/>
  <c r="D257"/>
  <c r="O256"/>
  <c r="N256"/>
  <c r="M256"/>
  <c r="L256"/>
  <c r="K256"/>
  <c r="J256"/>
  <c r="I256"/>
  <c r="H256"/>
  <c r="G256"/>
  <c r="F256"/>
  <c r="E256"/>
  <c r="D256"/>
  <c r="O255"/>
  <c r="N255"/>
  <c r="M255"/>
  <c r="L255"/>
  <c r="K255"/>
  <c r="J255"/>
  <c r="I255"/>
  <c r="H255"/>
  <c r="G255"/>
  <c r="F255"/>
  <c r="E255"/>
  <c r="D255"/>
  <c r="O254"/>
  <c r="N254"/>
  <c r="M254"/>
  <c r="L254"/>
  <c r="K254"/>
  <c r="J254"/>
  <c r="I254"/>
  <c r="H254"/>
  <c r="G254"/>
  <c r="F254"/>
  <c r="E254"/>
  <c r="D254"/>
  <c r="O253"/>
  <c r="N253"/>
  <c r="M253"/>
  <c r="L253"/>
  <c r="K253"/>
  <c r="J253"/>
  <c r="I253"/>
  <c r="H253"/>
  <c r="G253"/>
  <c r="F253"/>
  <c r="E253"/>
  <c r="D253"/>
  <c r="O252"/>
  <c r="N252"/>
  <c r="M252"/>
  <c r="L252"/>
  <c r="K252"/>
  <c r="J252"/>
  <c r="I252"/>
  <c r="H252"/>
  <c r="G252"/>
  <c r="F252"/>
  <c r="E252"/>
  <c r="D252"/>
  <c r="O251"/>
  <c r="N251"/>
  <c r="M251"/>
  <c r="L251"/>
  <c r="K251"/>
  <c r="J251"/>
  <c r="I251"/>
  <c r="H251"/>
  <c r="G251"/>
  <c r="F251"/>
  <c r="E251"/>
  <c r="D251"/>
  <c r="O250"/>
  <c r="N250"/>
  <c r="M250"/>
  <c r="L250"/>
  <c r="K250"/>
  <c r="J250"/>
  <c r="I250"/>
  <c r="H250"/>
  <c r="G250"/>
  <c r="F250"/>
  <c r="E250"/>
  <c r="D250"/>
  <c r="O249"/>
  <c r="N249"/>
  <c r="M249"/>
  <c r="L249"/>
  <c r="K249"/>
  <c r="J249"/>
  <c r="I249"/>
  <c r="H249"/>
  <c r="G249"/>
  <c r="F249"/>
  <c r="E249"/>
  <c r="D249"/>
  <c r="O248"/>
  <c r="N248"/>
  <c r="M248"/>
  <c r="L248"/>
  <c r="K248"/>
  <c r="J248"/>
  <c r="I248"/>
  <c r="H248"/>
  <c r="G248"/>
  <c r="F248"/>
  <c r="E248"/>
  <c r="O243"/>
  <c r="N243"/>
  <c r="M243"/>
  <c r="L243"/>
  <c r="K243"/>
  <c r="J243"/>
  <c r="I243"/>
  <c r="H243"/>
  <c r="G243"/>
  <c r="F243"/>
  <c r="E243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O241"/>
  <c r="N241"/>
  <c r="M241"/>
  <c r="L241"/>
  <c r="K241"/>
  <c r="J241"/>
  <c r="I241"/>
  <c r="H241"/>
  <c r="G241"/>
  <c r="F241"/>
  <c r="E241"/>
  <c r="O216"/>
  <c r="N216"/>
  <c r="M216"/>
  <c r="L216"/>
  <c r="K216"/>
  <c r="J216"/>
  <c r="I216"/>
  <c r="H216"/>
  <c r="G216"/>
  <c r="F216"/>
  <c r="E216"/>
  <c r="D216"/>
  <c r="O215"/>
  <c r="N215"/>
  <c r="M215"/>
  <c r="L215"/>
  <c r="K215"/>
  <c r="J215"/>
  <c r="I215"/>
  <c r="H215"/>
  <c r="G215"/>
  <c r="F215"/>
  <c r="E215"/>
  <c r="D215"/>
  <c r="O214"/>
  <c r="N214"/>
  <c r="M214"/>
  <c r="L214"/>
  <c r="K214"/>
  <c r="J214"/>
  <c r="I214"/>
  <c r="H214"/>
  <c r="G214"/>
  <c r="F214"/>
  <c r="E214"/>
  <c r="D214"/>
  <c r="O213"/>
  <c r="N213"/>
  <c r="M213"/>
  <c r="L213"/>
  <c r="K213"/>
  <c r="J213"/>
  <c r="I213"/>
  <c r="H213"/>
  <c r="G213"/>
  <c r="F213"/>
  <c r="E213"/>
  <c r="D213"/>
  <c r="O212"/>
  <c r="N212"/>
  <c r="M212"/>
  <c r="L212"/>
  <c r="K212"/>
  <c r="J212"/>
  <c r="I212"/>
  <c r="H212"/>
  <c r="G212"/>
  <c r="F212"/>
  <c r="E212"/>
  <c r="D212"/>
  <c r="O211"/>
  <c r="N211"/>
  <c r="M211"/>
  <c r="L211"/>
  <c r="K211"/>
  <c r="J211"/>
  <c r="I211"/>
  <c r="H211"/>
  <c r="G211"/>
  <c r="F211"/>
  <c r="E211"/>
  <c r="D211"/>
  <c r="O210"/>
  <c r="N210"/>
  <c r="M210"/>
  <c r="L210"/>
  <c r="K210"/>
  <c r="J210"/>
  <c r="I210"/>
  <c r="H210"/>
  <c r="G210"/>
  <c r="F210"/>
  <c r="E210"/>
  <c r="D210"/>
  <c r="O209"/>
  <c r="N209"/>
  <c r="M209"/>
  <c r="L209"/>
  <c r="K209"/>
  <c r="J209"/>
  <c r="I209"/>
  <c r="H209"/>
  <c r="G209"/>
  <c r="F209"/>
  <c r="E209"/>
  <c r="D209"/>
  <c r="O208"/>
  <c r="N208"/>
  <c r="M208"/>
  <c r="L208"/>
  <c r="K208"/>
  <c r="J208"/>
  <c r="I208"/>
  <c r="H208"/>
  <c r="G208"/>
  <c r="F208"/>
  <c r="E208"/>
  <c r="D208"/>
  <c r="O207"/>
  <c r="N207"/>
  <c r="M207"/>
  <c r="L207"/>
  <c r="K207"/>
  <c r="J207"/>
  <c r="I207"/>
  <c r="H207"/>
  <c r="G207"/>
  <c r="F207"/>
  <c r="E207"/>
  <c r="D207"/>
  <c r="O206"/>
  <c r="N206"/>
  <c r="M206"/>
  <c r="L206"/>
  <c r="K206"/>
  <c r="J206"/>
  <c r="I206"/>
  <c r="H206"/>
  <c r="G206"/>
  <c r="F206"/>
  <c r="E206"/>
  <c r="D206"/>
  <c r="O205"/>
  <c r="N205"/>
  <c r="M205"/>
  <c r="L205"/>
  <c r="K205"/>
  <c r="J205"/>
  <c r="I205"/>
  <c r="H205"/>
  <c r="G205"/>
  <c r="F205"/>
  <c r="E205"/>
  <c r="D205"/>
  <c r="O204"/>
  <c r="N204"/>
  <c r="M204"/>
  <c r="L204"/>
  <c r="K204"/>
  <c r="J204"/>
  <c r="I204"/>
  <c r="H204"/>
  <c r="G204"/>
  <c r="F204"/>
  <c r="E204"/>
  <c r="D204"/>
  <c r="O203"/>
  <c r="N203"/>
  <c r="M203"/>
  <c r="L203"/>
  <c r="K203"/>
  <c r="J203"/>
  <c r="I203"/>
  <c r="H203"/>
  <c r="G203"/>
  <c r="F203"/>
  <c r="E203"/>
  <c r="D203"/>
  <c r="O202"/>
  <c r="N202"/>
  <c r="M202"/>
  <c r="L202"/>
  <c r="K202"/>
  <c r="J202"/>
  <c r="I202"/>
  <c r="H202"/>
  <c r="G202"/>
  <c r="F202"/>
  <c r="E202"/>
  <c r="D202"/>
  <c r="O201"/>
  <c r="N201"/>
  <c r="M201"/>
  <c r="L201"/>
  <c r="K201"/>
  <c r="J201"/>
  <c r="I201"/>
  <c r="H201"/>
  <c r="G201"/>
  <c r="F201"/>
  <c r="E201"/>
  <c r="D201"/>
  <c r="O200"/>
  <c r="N200"/>
  <c r="M200"/>
  <c r="L200"/>
  <c r="K200"/>
  <c r="J200"/>
  <c r="I200"/>
  <c r="H200"/>
  <c r="G200"/>
  <c r="F200"/>
  <c r="F5" s="1"/>
  <c r="E200"/>
  <c r="D200"/>
  <c r="O199"/>
  <c r="N199"/>
  <c r="N217" s="1"/>
  <c r="M199"/>
  <c r="L199"/>
  <c r="K199"/>
  <c r="J199"/>
  <c r="I199"/>
  <c r="H199"/>
  <c r="H217" s="1"/>
  <c r="G199"/>
  <c r="F199"/>
  <c r="F217" s="1"/>
  <c r="E199"/>
  <c r="D199"/>
  <c r="O198"/>
  <c r="N198"/>
  <c r="M198"/>
  <c r="M217" s="1"/>
  <c r="L198"/>
  <c r="K198"/>
  <c r="K217" s="1"/>
  <c r="J198"/>
  <c r="J217" s="1"/>
  <c r="I198"/>
  <c r="H198"/>
  <c r="G198"/>
  <c r="G217" s="1"/>
  <c r="F198"/>
  <c r="E198"/>
  <c r="E217" s="1"/>
  <c r="O217"/>
  <c r="L217"/>
  <c r="I217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93" s="1"/>
  <c r="P174"/>
  <c r="P172"/>
  <c r="O191"/>
  <c r="N191"/>
  <c r="M191"/>
  <c r="L191"/>
  <c r="K191"/>
  <c r="J191"/>
  <c r="I191"/>
  <c r="H191"/>
  <c r="G191"/>
  <c r="F191"/>
  <c r="E19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41" s="1"/>
  <c r="P122"/>
  <c r="O141"/>
  <c r="N141"/>
  <c r="M141"/>
  <c r="L141"/>
  <c r="K141"/>
  <c r="J141"/>
  <c r="I141"/>
  <c r="H141"/>
  <c r="G141"/>
  <c r="F141"/>
  <c r="E141"/>
  <c r="D14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O91"/>
  <c r="O93" s="1"/>
  <c r="N91"/>
  <c r="M91"/>
  <c r="M93" s="1"/>
  <c r="L91"/>
  <c r="L93" s="1"/>
  <c r="K91"/>
  <c r="J91"/>
  <c r="I91"/>
  <c r="I93" s="1"/>
  <c r="H91"/>
  <c r="G91"/>
  <c r="G93" s="1"/>
  <c r="F91"/>
  <c r="F93" s="1"/>
  <c r="E91"/>
  <c r="E93"/>
  <c r="N93"/>
  <c r="K93"/>
  <c r="J93"/>
  <c r="H93"/>
  <c r="O193"/>
  <c r="N193"/>
  <c r="M193"/>
  <c r="L193"/>
  <c r="K193"/>
  <c r="J193"/>
  <c r="I193"/>
  <c r="H193"/>
  <c r="G193"/>
  <c r="F193"/>
  <c r="E193"/>
  <c r="O167"/>
  <c r="N167"/>
  <c r="M167"/>
  <c r="L167"/>
  <c r="K167"/>
  <c r="J167"/>
  <c r="I167"/>
  <c r="H167"/>
  <c r="G167"/>
  <c r="F167"/>
  <c r="E167"/>
  <c r="O166"/>
  <c r="N166"/>
  <c r="M166"/>
  <c r="L166"/>
  <c r="L21" s="1"/>
  <c r="K166"/>
  <c r="J166"/>
  <c r="I166"/>
  <c r="H166"/>
  <c r="G166"/>
  <c r="F166"/>
  <c r="E166"/>
  <c r="D166"/>
  <c r="O165"/>
  <c r="N165"/>
  <c r="M165"/>
  <c r="L165"/>
  <c r="K165"/>
  <c r="K20" s="1"/>
  <c r="J165"/>
  <c r="I165"/>
  <c r="H165"/>
  <c r="G165"/>
  <c r="F165"/>
  <c r="E165"/>
  <c r="D165"/>
  <c r="O164"/>
  <c r="N164"/>
  <c r="M164"/>
  <c r="L164"/>
  <c r="K164"/>
  <c r="J164"/>
  <c r="I164"/>
  <c r="H164"/>
  <c r="G164"/>
  <c r="F164"/>
  <c r="E164"/>
  <c r="D164"/>
  <c r="O163"/>
  <c r="N163"/>
  <c r="M163"/>
  <c r="L163"/>
  <c r="K163"/>
  <c r="K18" s="1"/>
  <c r="J163"/>
  <c r="I163"/>
  <c r="H163"/>
  <c r="G163"/>
  <c r="F163"/>
  <c r="E163"/>
  <c r="D163"/>
  <c r="O162"/>
  <c r="N162"/>
  <c r="M162"/>
  <c r="L162"/>
  <c r="K162"/>
  <c r="K17" s="1"/>
  <c r="J162"/>
  <c r="I162"/>
  <c r="H162"/>
  <c r="G162"/>
  <c r="F162"/>
  <c r="E162"/>
  <c r="D162"/>
  <c r="O161"/>
  <c r="N161"/>
  <c r="M161"/>
  <c r="L161"/>
  <c r="K161"/>
  <c r="J161"/>
  <c r="I161"/>
  <c r="H161"/>
  <c r="G161"/>
  <c r="F161"/>
  <c r="E161"/>
  <c r="D161"/>
  <c r="O160"/>
  <c r="N160"/>
  <c r="M160"/>
  <c r="L160"/>
  <c r="K160"/>
  <c r="J160"/>
  <c r="I160"/>
  <c r="H160"/>
  <c r="G160"/>
  <c r="F160"/>
  <c r="E160"/>
  <c r="D160"/>
  <c r="O159"/>
  <c r="N159"/>
  <c r="M159"/>
  <c r="L159"/>
  <c r="K159"/>
  <c r="J159"/>
  <c r="I159"/>
  <c r="H159"/>
  <c r="G159"/>
  <c r="F159"/>
  <c r="E159"/>
  <c r="D159"/>
  <c r="O158"/>
  <c r="N158"/>
  <c r="M158"/>
  <c r="L158"/>
  <c r="K158"/>
  <c r="J158"/>
  <c r="I158"/>
  <c r="H158"/>
  <c r="G158"/>
  <c r="F158"/>
  <c r="E158"/>
  <c r="D158"/>
  <c r="O157"/>
  <c r="N157"/>
  <c r="M157"/>
  <c r="L157"/>
  <c r="K157"/>
  <c r="J157"/>
  <c r="I157"/>
  <c r="H157"/>
  <c r="G157"/>
  <c r="F157"/>
  <c r="E157"/>
  <c r="E12" s="1"/>
  <c r="D157"/>
  <c r="O156"/>
  <c r="N156"/>
  <c r="M156"/>
  <c r="L156"/>
  <c r="L11" s="1"/>
  <c r="K156"/>
  <c r="J156"/>
  <c r="I156"/>
  <c r="H156"/>
  <c r="G156"/>
  <c r="F156"/>
  <c r="E156"/>
  <c r="E11" s="1"/>
  <c r="D156"/>
  <c r="O155"/>
  <c r="N155"/>
  <c r="M155"/>
  <c r="L155"/>
  <c r="L10" s="1"/>
  <c r="K155"/>
  <c r="J155"/>
  <c r="I155"/>
  <c r="H155"/>
  <c r="G155"/>
  <c r="F155"/>
  <c r="E155"/>
  <c r="D155"/>
  <c r="O154"/>
  <c r="N154"/>
  <c r="M154"/>
  <c r="L154"/>
  <c r="K154"/>
  <c r="J154"/>
  <c r="I154"/>
  <c r="H154"/>
  <c r="G154"/>
  <c r="F154"/>
  <c r="E154"/>
  <c r="D154"/>
  <c r="O153"/>
  <c r="N153"/>
  <c r="M153"/>
  <c r="L153"/>
  <c r="K153"/>
  <c r="J153"/>
  <c r="I153"/>
  <c r="H153"/>
  <c r="G153"/>
  <c r="F153"/>
  <c r="F8" s="1"/>
  <c r="E153"/>
  <c r="D153"/>
  <c r="O152"/>
  <c r="N152"/>
  <c r="M152"/>
  <c r="L152"/>
  <c r="K152"/>
  <c r="J152"/>
  <c r="I152"/>
  <c r="H152"/>
  <c r="G152"/>
  <c r="F152"/>
  <c r="E152"/>
  <c r="D152"/>
  <c r="O151"/>
  <c r="N151"/>
  <c r="M151"/>
  <c r="L151"/>
  <c r="L6" s="1"/>
  <c r="K151"/>
  <c r="J151"/>
  <c r="I151"/>
  <c r="H151"/>
  <c r="G151"/>
  <c r="F151"/>
  <c r="E151"/>
  <c r="D151"/>
  <c r="O150"/>
  <c r="N150"/>
  <c r="N5" s="1"/>
  <c r="M150"/>
  <c r="L150"/>
  <c r="K150"/>
  <c r="J150"/>
  <c r="I150"/>
  <c r="H150"/>
  <c r="G150"/>
  <c r="F150"/>
  <c r="E150"/>
  <c r="D150"/>
  <c r="O149"/>
  <c r="N149"/>
  <c r="M149"/>
  <c r="L149"/>
  <c r="L4" s="1"/>
  <c r="K149"/>
  <c r="J149"/>
  <c r="I149"/>
  <c r="H149"/>
  <c r="G149"/>
  <c r="F149"/>
  <c r="F4" s="1"/>
  <c r="E149"/>
  <c r="E4" s="1"/>
  <c r="D149"/>
  <c r="O148"/>
  <c r="N148"/>
  <c r="M148"/>
  <c r="L148"/>
  <c r="K148"/>
  <c r="J148"/>
  <c r="I148"/>
  <c r="H148"/>
  <c r="G148"/>
  <c r="F148"/>
  <c r="E148"/>
  <c r="O117"/>
  <c r="N117"/>
  <c r="M117"/>
  <c r="L117"/>
  <c r="K117"/>
  <c r="J117"/>
  <c r="I117"/>
  <c r="H117"/>
  <c r="G117"/>
  <c r="F117"/>
  <c r="E117"/>
  <c r="O116"/>
  <c r="N116"/>
  <c r="M116"/>
  <c r="L116"/>
  <c r="K116"/>
  <c r="K21" s="1"/>
  <c r="J116"/>
  <c r="J21" s="1"/>
  <c r="I116"/>
  <c r="H116"/>
  <c r="H21" s="1"/>
  <c r="G116"/>
  <c r="G21" s="1"/>
  <c r="F116"/>
  <c r="E116"/>
  <c r="E21" s="1"/>
  <c r="D116"/>
  <c r="O115"/>
  <c r="N115"/>
  <c r="M115"/>
  <c r="L115"/>
  <c r="K115"/>
  <c r="J115"/>
  <c r="I115"/>
  <c r="H115"/>
  <c r="G115"/>
  <c r="F115"/>
  <c r="E115"/>
  <c r="D115"/>
  <c r="D20" s="1"/>
  <c r="O114"/>
  <c r="N114"/>
  <c r="M114"/>
  <c r="M19" s="1"/>
  <c r="L114"/>
  <c r="L19" s="1"/>
  <c r="K114"/>
  <c r="K19" s="1"/>
  <c r="J114"/>
  <c r="I114"/>
  <c r="H114"/>
  <c r="G114"/>
  <c r="F114"/>
  <c r="E114"/>
  <c r="E19" s="1"/>
  <c r="D114"/>
  <c r="O113"/>
  <c r="N113"/>
  <c r="N18" s="1"/>
  <c r="M113"/>
  <c r="L113"/>
  <c r="L18" s="1"/>
  <c r="K113"/>
  <c r="J113"/>
  <c r="I113"/>
  <c r="H113"/>
  <c r="G113"/>
  <c r="G18" s="1"/>
  <c r="F113"/>
  <c r="F18" s="1"/>
  <c r="E113"/>
  <c r="D113"/>
  <c r="O112"/>
  <c r="N112"/>
  <c r="M112"/>
  <c r="L112"/>
  <c r="L17" s="1"/>
  <c r="K112"/>
  <c r="J112"/>
  <c r="I112"/>
  <c r="H112"/>
  <c r="G112"/>
  <c r="F112"/>
  <c r="E112"/>
  <c r="D112"/>
  <c r="O111"/>
  <c r="N111"/>
  <c r="M111"/>
  <c r="L111"/>
  <c r="K111"/>
  <c r="J111"/>
  <c r="I111"/>
  <c r="H111"/>
  <c r="G111"/>
  <c r="F111"/>
  <c r="E111"/>
  <c r="D111"/>
  <c r="O110"/>
  <c r="N110"/>
  <c r="M110"/>
  <c r="L110"/>
  <c r="K110"/>
  <c r="J110"/>
  <c r="I110"/>
  <c r="H110"/>
  <c r="H15" s="1"/>
  <c r="G110"/>
  <c r="F110"/>
  <c r="E110"/>
  <c r="D110"/>
  <c r="O109"/>
  <c r="N109"/>
  <c r="N14" s="1"/>
  <c r="M109"/>
  <c r="L109"/>
  <c r="K109"/>
  <c r="J109"/>
  <c r="I109"/>
  <c r="H109"/>
  <c r="G109"/>
  <c r="G14" s="1"/>
  <c r="F109"/>
  <c r="F14" s="1"/>
  <c r="E109"/>
  <c r="D109"/>
  <c r="O108"/>
  <c r="N108"/>
  <c r="N13" s="1"/>
  <c r="M108"/>
  <c r="L108"/>
  <c r="L13" s="1"/>
  <c r="K108"/>
  <c r="K13" s="1"/>
  <c r="J108"/>
  <c r="I108"/>
  <c r="H108"/>
  <c r="G108"/>
  <c r="G13" s="1"/>
  <c r="F108"/>
  <c r="E108"/>
  <c r="D108"/>
  <c r="O107"/>
  <c r="N107"/>
  <c r="M107"/>
  <c r="L107"/>
  <c r="K107"/>
  <c r="J107"/>
  <c r="I107"/>
  <c r="H107"/>
  <c r="H12" s="1"/>
  <c r="G107"/>
  <c r="G12" s="1"/>
  <c r="F107"/>
  <c r="E107"/>
  <c r="D107"/>
  <c r="O106"/>
  <c r="N106"/>
  <c r="M106"/>
  <c r="M11" s="1"/>
  <c r="L106"/>
  <c r="K106"/>
  <c r="K11" s="1"/>
  <c r="J106"/>
  <c r="J11" s="1"/>
  <c r="I106"/>
  <c r="H106"/>
  <c r="G106"/>
  <c r="F106"/>
  <c r="E106"/>
  <c r="D106"/>
  <c r="O105"/>
  <c r="N105"/>
  <c r="M105"/>
  <c r="L105"/>
  <c r="K105"/>
  <c r="K10" s="1"/>
  <c r="J105"/>
  <c r="I105"/>
  <c r="H105"/>
  <c r="H10" s="1"/>
  <c r="G105"/>
  <c r="F105"/>
  <c r="E105"/>
  <c r="E10" s="1"/>
  <c r="D105"/>
  <c r="O104"/>
  <c r="N104"/>
  <c r="N9" s="1"/>
  <c r="M104"/>
  <c r="M9" s="1"/>
  <c r="L104"/>
  <c r="K104"/>
  <c r="J104"/>
  <c r="I104"/>
  <c r="H104"/>
  <c r="G104"/>
  <c r="F104"/>
  <c r="F9" s="1"/>
  <c r="E104"/>
  <c r="E9" s="1"/>
  <c r="D104"/>
  <c r="O103"/>
  <c r="N103"/>
  <c r="M103"/>
  <c r="L103"/>
  <c r="L8" s="1"/>
  <c r="K103"/>
  <c r="K8" s="1"/>
  <c r="J103"/>
  <c r="I103"/>
  <c r="H103"/>
  <c r="G103"/>
  <c r="F103"/>
  <c r="E103"/>
  <c r="E8" s="1"/>
  <c r="D103"/>
  <c r="O102"/>
  <c r="N102"/>
  <c r="M102"/>
  <c r="L102"/>
  <c r="K102"/>
  <c r="K7" s="1"/>
  <c r="J102"/>
  <c r="I102"/>
  <c r="H102"/>
  <c r="G102"/>
  <c r="F102"/>
  <c r="E102"/>
  <c r="D102"/>
  <c r="O101"/>
  <c r="N101"/>
  <c r="N6" s="1"/>
  <c r="M101"/>
  <c r="M6" s="1"/>
  <c r="L101"/>
  <c r="K101"/>
  <c r="J101"/>
  <c r="I101"/>
  <c r="H101"/>
  <c r="G101"/>
  <c r="G6" s="1"/>
  <c r="F101"/>
  <c r="F6" s="1"/>
  <c r="E101"/>
  <c r="E6" s="1"/>
  <c r="D101"/>
  <c r="O100"/>
  <c r="N100"/>
  <c r="M100"/>
  <c r="M5" s="1"/>
  <c r="L100"/>
  <c r="K100"/>
  <c r="K5" s="1"/>
  <c r="J100"/>
  <c r="I100"/>
  <c r="H100"/>
  <c r="G100"/>
  <c r="F100"/>
  <c r="E100"/>
  <c r="D100"/>
  <c r="O99"/>
  <c r="N99"/>
  <c r="N4" s="1"/>
  <c r="M99"/>
  <c r="L99"/>
  <c r="K99"/>
  <c r="J99"/>
  <c r="I99"/>
  <c r="H99"/>
  <c r="H4" s="1"/>
  <c r="G99"/>
  <c r="G4" s="1"/>
  <c r="F99"/>
  <c r="E99"/>
  <c r="D99"/>
  <c r="G20"/>
  <c r="H19"/>
  <c r="D19"/>
  <c r="E18"/>
  <c r="J17"/>
  <c r="M12"/>
  <c r="F12"/>
  <c r="K9"/>
  <c r="J9"/>
  <c r="H7"/>
  <c r="O98"/>
  <c r="O3"/>
  <c r="N98"/>
  <c r="N3" s="1"/>
  <c r="M98"/>
  <c r="L98"/>
  <c r="K98"/>
  <c r="J98"/>
  <c r="I98"/>
  <c r="H98"/>
  <c r="G98"/>
  <c r="F98"/>
  <c r="E98"/>
  <c r="M20"/>
  <c r="L20"/>
  <c r="F20"/>
  <c r="E20"/>
  <c r="J15"/>
  <c r="J14"/>
  <c r="J13"/>
  <c r="J12"/>
  <c r="J8"/>
  <c r="J6"/>
  <c r="J5"/>
  <c r="J3"/>
  <c r="O20"/>
  <c r="N20"/>
  <c r="I20"/>
  <c r="O46"/>
  <c r="J46"/>
  <c r="I46"/>
  <c r="O44"/>
  <c r="N44"/>
  <c r="N46" s="1"/>
  <c r="M44"/>
  <c r="M46" s="1"/>
  <c r="L44"/>
  <c r="L46" s="1"/>
  <c r="K44"/>
  <c r="K46" s="1"/>
  <c r="J44"/>
  <c r="I44"/>
  <c r="H44"/>
  <c r="H46" s="1"/>
  <c r="G44"/>
  <c r="G46" s="1"/>
  <c r="F44"/>
  <c r="F46" s="1"/>
  <c r="E44"/>
  <c r="E46" s="1"/>
  <c r="O67"/>
  <c r="N67"/>
  <c r="M67"/>
  <c r="L67"/>
  <c r="K67"/>
  <c r="J67"/>
  <c r="I67"/>
  <c r="H67"/>
  <c r="G67"/>
  <c r="F67"/>
  <c r="E67"/>
  <c r="D67"/>
  <c r="O66"/>
  <c r="N66"/>
  <c r="M66"/>
  <c r="L66"/>
  <c r="K66"/>
  <c r="J66"/>
  <c r="I66"/>
  <c r="H66"/>
  <c r="G66"/>
  <c r="F66"/>
  <c r="E66"/>
  <c r="D66"/>
  <c r="O65"/>
  <c r="N65"/>
  <c r="M65"/>
  <c r="L65"/>
  <c r="K65"/>
  <c r="J65"/>
  <c r="I65"/>
  <c r="H65"/>
  <c r="G65"/>
  <c r="F65"/>
  <c r="E65"/>
  <c r="D65"/>
  <c r="O64"/>
  <c r="N64"/>
  <c r="M64"/>
  <c r="L64"/>
  <c r="K64"/>
  <c r="J64"/>
  <c r="I64"/>
  <c r="H64"/>
  <c r="G64"/>
  <c r="F64"/>
  <c r="E64"/>
  <c r="D64"/>
  <c r="O63"/>
  <c r="N63"/>
  <c r="M63"/>
  <c r="L63"/>
  <c r="K63"/>
  <c r="J63"/>
  <c r="I63"/>
  <c r="H63"/>
  <c r="G63"/>
  <c r="F63"/>
  <c r="E63"/>
  <c r="D63"/>
  <c r="O62"/>
  <c r="N62"/>
  <c r="M62"/>
  <c r="L62"/>
  <c r="K62"/>
  <c r="J62"/>
  <c r="I62"/>
  <c r="H62"/>
  <c r="G62"/>
  <c r="F62"/>
  <c r="E62"/>
  <c r="D62"/>
  <c r="O61"/>
  <c r="N61"/>
  <c r="M61"/>
  <c r="L61"/>
  <c r="K61"/>
  <c r="J61"/>
  <c r="I61"/>
  <c r="H61"/>
  <c r="G61"/>
  <c r="F61"/>
  <c r="E61"/>
  <c r="D61"/>
  <c r="O60"/>
  <c r="N60"/>
  <c r="M60"/>
  <c r="L60"/>
  <c r="K60"/>
  <c r="J60"/>
  <c r="I60"/>
  <c r="H60"/>
  <c r="G60"/>
  <c r="F60"/>
  <c r="E60"/>
  <c r="D60"/>
  <c r="O59"/>
  <c r="N59"/>
  <c r="M59"/>
  <c r="L59"/>
  <c r="K59"/>
  <c r="J59"/>
  <c r="I59"/>
  <c r="H59"/>
  <c r="G59"/>
  <c r="F59"/>
  <c r="E59"/>
  <c r="D59"/>
  <c r="O58"/>
  <c r="N58"/>
  <c r="M58"/>
  <c r="L58"/>
  <c r="K58"/>
  <c r="J58"/>
  <c r="I58"/>
  <c r="H58"/>
  <c r="G58"/>
  <c r="F58"/>
  <c r="E58"/>
  <c r="D58"/>
  <c r="O57"/>
  <c r="N57"/>
  <c r="M57"/>
  <c r="L57"/>
  <c r="K57"/>
  <c r="J57"/>
  <c r="I57"/>
  <c r="H57"/>
  <c r="G57"/>
  <c r="F57"/>
  <c r="E57"/>
  <c r="D57"/>
  <c r="O56"/>
  <c r="N56"/>
  <c r="M56"/>
  <c r="L56"/>
  <c r="K56"/>
  <c r="J56"/>
  <c r="I56"/>
  <c r="H56"/>
  <c r="G56"/>
  <c r="F56"/>
  <c r="E56"/>
  <c r="D56"/>
  <c r="O55"/>
  <c r="N55"/>
  <c r="M55"/>
  <c r="L55"/>
  <c r="K55"/>
  <c r="J55"/>
  <c r="I55"/>
  <c r="H55"/>
  <c r="G55"/>
  <c r="F55"/>
  <c r="E55"/>
  <c r="D55"/>
  <c r="O54"/>
  <c r="N54"/>
  <c r="M54"/>
  <c r="L54"/>
  <c r="K54"/>
  <c r="J54"/>
  <c r="I54"/>
  <c r="H54"/>
  <c r="G54"/>
  <c r="F54"/>
  <c r="E54"/>
  <c r="D54"/>
  <c r="O53"/>
  <c r="N53"/>
  <c r="M53"/>
  <c r="L53"/>
  <c r="K53"/>
  <c r="J53"/>
  <c r="I53"/>
  <c r="H53"/>
  <c r="G53"/>
  <c r="F53"/>
  <c r="E53"/>
  <c r="D53"/>
  <c r="O52"/>
  <c r="N52"/>
  <c r="M52"/>
  <c r="L52"/>
  <c r="K52"/>
  <c r="J52"/>
  <c r="I52"/>
  <c r="H52"/>
  <c r="G52"/>
  <c r="F52"/>
  <c r="E52"/>
  <c r="D52"/>
  <c r="O51"/>
  <c r="N51"/>
  <c r="M51"/>
  <c r="L51"/>
  <c r="K51"/>
  <c r="J51"/>
  <c r="I51"/>
  <c r="H51"/>
  <c r="G51"/>
  <c r="F51"/>
  <c r="E51"/>
  <c r="O21"/>
  <c r="N21"/>
  <c r="M21"/>
  <c r="I21"/>
  <c r="F21"/>
  <c r="D21"/>
  <c r="O19"/>
  <c r="N19"/>
  <c r="J19"/>
  <c r="I19"/>
  <c r="G19"/>
  <c r="F19"/>
  <c r="O18"/>
  <c r="M18"/>
  <c r="I18"/>
  <c r="H18"/>
  <c r="D18"/>
  <c r="O17"/>
  <c r="N17"/>
  <c r="I17"/>
  <c r="H17"/>
  <c r="G17"/>
  <c r="F17"/>
  <c r="E17"/>
  <c r="D17"/>
  <c r="O16"/>
  <c r="N16"/>
  <c r="M16"/>
  <c r="L16"/>
  <c r="K16"/>
  <c r="J16"/>
  <c r="I16"/>
  <c r="H16"/>
  <c r="G16"/>
  <c r="F16"/>
  <c r="E16"/>
  <c r="D16"/>
  <c r="O15"/>
  <c r="N15"/>
  <c r="M15"/>
  <c r="L15"/>
  <c r="K15"/>
  <c r="I15"/>
  <c r="G15"/>
  <c r="F15"/>
  <c r="E15"/>
  <c r="D15"/>
  <c r="O14"/>
  <c r="L14"/>
  <c r="K14"/>
  <c r="I14"/>
  <c r="E14"/>
  <c r="D14"/>
  <c r="O13"/>
  <c r="M13"/>
  <c r="I13"/>
  <c r="H13"/>
  <c r="F13"/>
  <c r="E13"/>
  <c r="D13"/>
  <c r="O12"/>
  <c r="N12"/>
  <c r="L12"/>
  <c r="K12"/>
  <c r="I12"/>
  <c r="D12"/>
  <c r="O11"/>
  <c r="N11"/>
  <c r="I11"/>
  <c r="H11"/>
  <c r="F11"/>
  <c r="D11"/>
  <c r="O10"/>
  <c r="N10"/>
  <c r="M10"/>
  <c r="J10"/>
  <c r="I10"/>
  <c r="G10"/>
  <c r="F10"/>
  <c r="D10"/>
  <c r="O9"/>
  <c r="L9"/>
  <c r="I9"/>
  <c r="H9"/>
  <c r="G9"/>
  <c r="D9"/>
  <c r="O8"/>
  <c r="N8"/>
  <c r="M8"/>
  <c r="I8"/>
  <c r="H8"/>
  <c r="G8"/>
  <c r="D8"/>
  <c r="O7"/>
  <c r="N7"/>
  <c r="M7"/>
  <c r="L7"/>
  <c r="I7"/>
  <c r="G7"/>
  <c r="F7"/>
  <c r="E7"/>
  <c r="D7"/>
  <c r="O6"/>
  <c r="K6"/>
  <c r="I6"/>
  <c r="H6"/>
  <c r="D6"/>
  <c r="O5"/>
  <c r="L5"/>
  <c r="I5"/>
  <c r="H5"/>
  <c r="G5"/>
  <c r="E5"/>
  <c r="D5"/>
  <c r="O4"/>
  <c r="M4"/>
  <c r="K4"/>
  <c r="J4"/>
  <c r="I4"/>
  <c r="D4"/>
  <c r="K3"/>
  <c r="I3"/>
  <c r="F3"/>
  <c r="E3"/>
  <c r="Q12" i="23"/>
  <c r="U12"/>
  <c r="T12"/>
  <c r="S12"/>
  <c r="R12"/>
  <c r="P12"/>
  <c r="L171"/>
  <c r="J171"/>
  <c r="I171"/>
  <c r="U166"/>
  <c r="T166"/>
  <c r="S166"/>
  <c r="R166"/>
  <c r="Q166"/>
  <c r="P166"/>
  <c r="O166"/>
  <c r="N166"/>
  <c r="M166"/>
  <c r="L166"/>
  <c r="K166"/>
  <c r="J166"/>
  <c r="I166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Q189"/>
  <c r="Q188"/>
  <c r="Q187"/>
  <c r="Q186"/>
  <c r="Q185"/>
  <c r="Q184"/>
  <c r="Q183"/>
  <c r="Q182"/>
  <c r="Q181"/>
  <c r="Q180"/>
  <c r="Q179"/>
  <c r="Q178"/>
  <c r="Q177"/>
  <c r="Q176"/>
  <c r="Q175"/>
  <c r="Q174"/>
  <c r="Q173"/>
  <c r="Q172"/>
  <c r="Q171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Q2"/>
  <c r="T2"/>
  <c r="S2"/>
  <c r="O2"/>
  <c r="N2"/>
  <c r="M2"/>
  <c r="L2"/>
  <c r="K2"/>
  <c r="V2" s="1"/>
  <c r="F39" i="25" l="1"/>
  <c r="F134"/>
  <c r="F160"/>
  <c r="F157"/>
  <c r="F136"/>
  <c r="F135"/>
  <c r="F133"/>
  <c r="F132"/>
  <c r="F110"/>
  <c r="F107"/>
  <c r="F108"/>
  <c r="F112"/>
  <c r="F111"/>
  <c r="F109"/>
  <c r="F162"/>
  <c r="F161"/>
  <c r="F158"/>
  <c r="F159"/>
  <c r="F156"/>
  <c r="F61"/>
  <c r="F37"/>
  <c r="F62"/>
  <c r="F87"/>
  <c r="F86"/>
  <c r="F36"/>
  <c r="F63"/>
  <c r="F38"/>
  <c r="F40"/>
  <c r="F131"/>
  <c r="F59"/>
  <c r="F60"/>
  <c r="F90"/>
  <c r="F89"/>
  <c r="F88"/>
  <c r="F84"/>
  <c r="F85"/>
  <c r="P241" i="24"/>
  <c r="P243" s="1"/>
  <c r="G11"/>
  <c r="M14"/>
  <c r="P14" s="1"/>
  <c r="M17"/>
  <c r="G3"/>
  <c r="H3"/>
  <c r="H14"/>
  <c r="H20"/>
  <c r="J7"/>
  <c r="P7" s="1"/>
  <c r="J18"/>
  <c r="P18" s="1"/>
  <c r="J20"/>
  <c r="M3"/>
  <c r="L3"/>
  <c r="P4"/>
  <c r="P5"/>
  <c r="P6"/>
  <c r="P8"/>
  <c r="P9"/>
  <c r="P10"/>
  <c r="P11"/>
  <c r="P12"/>
  <c r="P13"/>
  <c r="P15"/>
  <c r="P16"/>
  <c r="P17"/>
  <c r="P19"/>
  <c r="P21"/>
  <c r="Q191" i="23"/>
  <c r="R191"/>
  <c r="J201" s="1"/>
  <c r="K191"/>
  <c r="K198" s="1"/>
  <c r="M198" s="1"/>
  <c r="M191"/>
  <c r="J191"/>
  <c r="J197" s="1"/>
  <c r="I191"/>
  <c r="S191"/>
  <c r="T191"/>
  <c r="J202" s="1"/>
  <c r="N191"/>
  <c r="J199" s="1"/>
  <c r="P191"/>
  <c r="J200" s="1"/>
  <c r="L191"/>
  <c r="J198" s="1"/>
  <c r="O191"/>
  <c r="P20" i="24" l="1"/>
  <c r="K197" i="23"/>
  <c r="M197" s="1"/>
  <c r="K196"/>
  <c r="M196" s="1"/>
  <c r="K199"/>
  <c r="M199" s="1"/>
  <c r="K200"/>
  <c r="M200" s="1"/>
  <c r="K202"/>
  <c r="M202" s="1"/>
  <c r="K201"/>
  <c r="M201" s="1"/>
  <c r="W2" l="1"/>
  <c r="X2" s="1"/>
</calcChain>
</file>

<file path=xl/sharedStrings.xml><?xml version="1.0" encoding="utf-8"?>
<sst xmlns="http://schemas.openxmlformats.org/spreadsheetml/2006/main" count="1225" uniqueCount="177">
  <si>
    <t>ADDRESS</t>
  </si>
  <si>
    <t>Premise#</t>
  </si>
  <si>
    <t>Outfall Area</t>
  </si>
  <si>
    <t>PROPERTY TYPE</t>
  </si>
  <si>
    <t>Tap Size</t>
  </si>
  <si>
    <t>SFRE</t>
  </si>
  <si>
    <t>Tapped to Metro Line</t>
  </si>
  <si>
    <t>*</t>
  </si>
  <si>
    <t>NONE</t>
  </si>
  <si>
    <t>No</t>
  </si>
  <si>
    <t>COMMERCIAL</t>
  </si>
  <si>
    <t>Lowell Meter (L-3)</t>
  </si>
  <si>
    <t>1"</t>
  </si>
  <si>
    <t>3333 W REGIS BLVD</t>
  </si>
  <si>
    <t>Upstream MH</t>
  </si>
  <si>
    <t>#</t>
  </si>
  <si>
    <t>TAPPED INTO L-12</t>
  </si>
  <si>
    <t>Consumption (2014) MG</t>
  </si>
  <si>
    <t>Consumption (2015) MG</t>
  </si>
  <si>
    <t>Consumption (2016) MG</t>
  </si>
  <si>
    <t>Consumption (2017) MG</t>
  </si>
  <si>
    <t>Consumption (2018) MG</t>
  </si>
  <si>
    <t>Consumption (2019) MG</t>
  </si>
  <si>
    <t>Consumption (2020) MG</t>
  </si>
  <si>
    <t>Consumption (2021) MG</t>
  </si>
  <si>
    <t>Consumption (2022) MG</t>
  </si>
  <si>
    <t>Consumption (2023) MG</t>
  </si>
  <si>
    <t>Average (MG)</t>
  </si>
  <si>
    <t xml:space="preserve">Average Daily </t>
  </si>
  <si>
    <t>12 Month Millions of Gal</t>
  </si>
  <si>
    <t>3333 REGIS BLVD</t>
  </si>
  <si>
    <t>Premise ID</t>
  </si>
  <si>
    <t>Meter#</t>
  </si>
  <si>
    <t>Jan Qty</t>
  </si>
  <si>
    <t>Feb Qty</t>
  </si>
  <si>
    <t>Mar Qty</t>
  </si>
  <si>
    <t>Apr Qty</t>
  </si>
  <si>
    <t>May Qty</t>
  </si>
  <si>
    <t>Jun Qty</t>
  </si>
  <si>
    <t>Jul Qty</t>
  </si>
  <si>
    <t>Aug Qty</t>
  </si>
  <si>
    <t>Sep Qty</t>
  </si>
  <si>
    <t>Oct Qty</t>
  </si>
  <si>
    <t>Nov Qty</t>
  </si>
  <si>
    <t>Dec Qty</t>
  </si>
  <si>
    <t>292008</t>
  </si>
  <si>
    <t>324440</t>
  </si>
  <si>
    <t>324441</t>
  </si>
  <si>
    <t>324475</t>
  </si>
  <si>
    <t>324482</t>
  </si>
  <si>
    <t>339143</t>
  </si>
  <si>
    <t>346934</t>
  </si>
  <si>
    <t>363087</t>
  </si>
  <si>
    <t>394593</t>
  </si>
  <si>
    <t>394880</t>
  </si>
  <si>
    <t>429098</t>
  </si>
  <si>
    <t>429104</t>
  </si>
  <si>
    <t>429214</t>
  </si>
  <si>
    <t>429215</t>
  </si>
  <si>
    <t>429985</t>
  </si>
  <si>
    <t>440606</t>
  </si>
  <si>
    <t>440683</t>
  </si>
  <si>
    <t>454889</t>
  </si>
  <si>
    <t>477980</t>
  </si>
  <si>
    <t>Converted</t>
  </si>
  <si>
    <t>Report 1</t>
  </si>
  <si>
    <t>Report 2</t>
  </si>
  <si>
    <t>Report 3</t>
  </si>
  <si>
    <t>Report 4</t>
  </si>
  <si>
    <t>Report 5</t>
  </si>
  <si>
    <t>Report 6</t>
  </si>
  <si>
    <t>Report 7</t>
  </si>
  <si>
    <t>Monthly (thousands)</t>
  </si>
  <si>
    <t>Daily Average</t>
  </si>
  <si>
    <t>Metro Conversion</t>
  </si>
  <si>
    <t># of Days</t>
  </si>
  <si>
    <t>2024 Report</t>
  </si>
  <si>
    <t>1/1/24 - 1/5/24</t>
  </si>
  <si>
    <t>1/6/24 - 3/11/24</t>
  </si>
  <si>
    <t>3/12/24 - 5/13/24</t>
  </si>
  <si>
    <t>5/14/24 - 7/15/24</t>
  </si>
  <si>
    <t>7/16/24 - 9/16/24</t>
  </si>
  <si>
    <t>9/17/24 - 11/18/24</t>
  </si>
  <si>
    <t>11/19/24 - 12/31/24</t>
  </si>
  <si>
    <t>Rep Period</t>
  </si>
  <si>
    <t>Sample Dates</t>
  </si>
  <si>
    <t>11/28/2023 - 12/04/2023</t>
  </si>
  <si>
    <t>2/6/2024 - 2/12/2024</t>
  </si>
  <si>
    <t>4/9/2024 - 4/15/2024</t>
  </si>
  <si>
    <t>6/11/2024 - 6/17/2024</t>
  </si>
  <si>
    <t>8/13/24 - 8/19/2024</t>
  </si>
  <si>
    <t>10/15/2024 - 10/21/2024</t>
  </si>
  <si>
    <t>12/16/2024 - 12/22/2024</t>
  </si>
  <si>
    <t>Usage</t>
  </si>
  <si>
    <t>Estimate for Period</t>
  </si>
  <si>
    <t>Flow MG</t>
  </si>
  <si>
    <t>BOD Estimate</t>
  </si>
  <si>
    <t>SS Estimate</t>
  </si>
  <si>
    <t>TKN Estimate</t>
  </si>
  <si>
    <t>Consumption (2024) MG</t>
  </si>
  <si>
    <t>Total Qty</t>
  </si>
  <si>
    <t>Difference</t>
  </si>
  <si>
    <t>Denver Usage</t>
  </si>
  <si>
    <t>Average Daily</t>
  </si>
  <si>
    <t>Report Date</t>
  </si>
  <si>
    <t>Period Sampled</t>
  </si>
  <si>
    <t>Representative Period</t>
  </si>
  <si>
    <t>Regis Flow (MG)</t>
  </si>
  <si>
    <t>Average/Day</t>
  </si>
  <si>
    <t>Converted (thousands)</t>
  </si>
  <si>
    <t>Metro Report Information</t>
  </si>
  <si>
    <t>Metro Report Date</t>
  </si>
  <si>
    <t>Denver Water Meter Readings for Period</t>
  </si>
  <si>
    <t>Denver Water Info/Comparison</t>
  </si>
  <si>
    <t>Sample Period Equivalent</t>
  </si>
  <si>
    <t>2/5/2019 - 2/11/2019</t>
  </si>
  <si>
    <t>5/9/2019 - 5/15/2019</t>
  </si>
  <si>
    <t>7/11/2019 - 11/17/2019</t>
  </si>
  <si>
    <t>9/12/2019 - 9/18/2019</t>
  </si>
  <si>
    <t>11/5/2019 - 11/11/2019</t>
  </si>
  <si>
    <t>1/2/2019 - 3/26/2019</t>
  </si>
  <si>
    <t>3/27/2019 - 6/12/2019</t>
  </si>
  <si>
    <t>6/13/2019 - 8/14/2019</t>
  </si>
  <si>
    <t>8/15/2019 - 10/12/2019</t>
  </si>
  <si>
    <t>10/13/2019 - 12/31/2019</t>
  </si>
  <si>
    <t>2/27/2020 - 03/04/2020</t>
  </si>
  <si>
    <t>7/2/2020 - 7/8/2020</t>
  </si>
  <si>
    <t>8/13/2020 - 8/19/2020</t>
  </si>
  <si>
    <t>10/15/2020 - 10/21/2020</t>
  </si>
  <si>
    <t>1/14/2021 - 1/20/2021</t>
  </si>
  <si>
    <t>1/1/2020 - 1/4/2020</t>
  </si>
  <si>
    <t>1/5/2020 - 5/3/2020</t>
  </si>
  <si>
    <t>5/4/2020 - 7/26/2020</t>
  </si>
  <si>
    <t>7/27/2020 - 9/16/2020</t>
  </si>
  <si>
    <t>9/17/2020 - 12/2/2020</t>
  </si>
  <si>
    <t>12/3/2020 - 12/31/2020</t>
  </si>
  <si>
    <t>3/18/2021 - 3/31/2021</t>
  </si>
  <si>
    <t>5/20/2021 - 5/26/2021</t>
  </si>
  <si>
    <t>7/22/2021 - 7/28/2021</t>
  </si>
  <si>
    <t>9/14/2021  9/20/2021</t>
  </si>
  <si>
    <t>9/14/2021 - 9/20/2021</t>
  </si>
  <si>
    <t>11/27/2021 - 12/31/2021</t>
  </si>
  <si>
    <t>1/1/2021 - 2/17/2021</t>
  </si>
  <si>
    <t>2/18/2021 - 4/25/2021</t>
  </si>
  <si>
    <t>4/26/2021 - 6/23/2021</t>
  </si>
  <si>
    <t>6/24/2021 - 8/21/2021</t>
  </si>
  <si>
    <t>8/22/2021 - 12/31/2021</t>
  </si>
  <si>
    <t>8/22/2021 - 11/26/2021</t>
  </si>
  <si>
    <t>2/2/2022 - 2/8/2022</t>
  </si>
  <si>
    <t>4/7/2022 - 4/12/2022</t>
  </si>
  <si>
    <t>6/29/2022 - 7/5/2022</t>
  </si>
  <si>
    <t>8/31/22 - 9/6/22</t>
  </si>
  <si>
    <t>11/02/2022 - 11/08/2022</t>
  </si>
  <si>
    <t>1/17/2023 - 1/23/2023</t>
  </si>
  <si>
    <t>1/1/2022 - 3/9/2022</t>
  </si>
  <si>
    <t>3/10/2022 - 5/21/2022</t>
  </si>
  <si>
    <t>5/22/2022 - 8/2/2022</t>
  </si>
  <si>
    <t>8/3/22 - 10/04/22</t>
  </si>
  <si>
    <t>10/05/2022 - 12/13/2022</t>
  </si>
  <si>
    <t>12/14/2022 - 12/31/2022</t>
  </si>
  <si>
    <t>3/21/2023 - 3/27/2023</t>
  </si>
  <si>
    <t>5/23/2023 - 5/29/2023</t>
  </si>
  <si>
    <t>7/25/2023 - 7/31/2023</t>
  </si>
  <si>
    <t>10/5/2023 - 10/11/2023</t>
  </si>
  <si>
    <t>1/1/2023 - 2/20/2023</t>
  </si>
  <si>
    <t>2/21/2023 - 4/24/2023</t>
  </si>
  <si>
    <t>4/25/2023 - 6/26/2023</t>
  </si>
  <si>
    <t>6/27/2023 - 9/2/2023</t>
  </si>
  <si>
    <t>9/3/2023 - 11/4/2023</t>
  </si>
  <si>
    <t>11/05/2023 - 12/31/2023</t>
  </si>
  <si>
    <t>01/01/2024 - 01/05/2024</t>
  </si>
  <si>
    <t>1/6/2024 - 3/11/2024</t>
  </si>
  <si>
    <t>3/12/2024 - 5/13/2024</t>
  </si>
  <si>
    <t>5/14/2024 - 7/15/2024</t>
  </si>
  <si>
    <t>7/16/2024 - 9/16/2024</t>
  </si>
  <si>
    <t>9/17/2024 - 11/18/2024</t>
  </si>
  <si>
    <t>11/18/2024 - 12/31/2024</t>
  </si>
</sst>
</file>

<file path=xl/styles.xml><?xml version="1.0" encoding="utf-8"?>
<styleSheet xmlns="http://schemas.openxmlformats.org/spreadsheetml/2006/main">
  <numFmts count="1">
    <numFmt numFmtId="164" formatCode="#,##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color theme="1"/>
      <name val="Tahoma"/>
      <family val="2"/>
    </font>
    <font>
      <sz val="10"/>
      <color rgb="FF343334"/>
      <name val="Tahoma"/>
      <family val="2"/>
    </font>
    <font>
      <sz val="10"/>
      <color rgb="FF000000"/>
      <name val="Tahoma"/>
      <family val="2"/>
    </font>
    <font>
      <sz val="1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AEAEA"/>
      </patternFill>
    </fill>
    <fill>
      <patternFill patternType="solid">
        <fgColor rgb="FFC1CCE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BFC0"/>
      </left>
      <right/>
      <top/>
      <bottom style="medium">
        <color rgb="FFC0BF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2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0" borderId="0"/>
    <xf numFmtId="0" fontId="18" fillId="0" borderId="0"/>
    <xf numFmtId="0" fontId="20" fillId="0" borderId="0"/>
    <xf numFmtId="0" fontId="1" fillId="0" borderId="0"/>
    <xf numFmtId="0" fontId="18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0" borderId="0"/>
    <xf numFmtId="0" fontId="18" fillId="0" borderId="0"/>
    <xf numFmtId="0" fontId="19" fillId="0" borderId="0"/>
    <xf numFmtId="0" fontId="20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20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399">
    <xf numFmtId="0" fontId="0" fillId="0" borderId="0" xfId="0"/>
    <xf numFmtId="16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10" xfId="0" applyBorder="1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Fill="1"/>
    <xf numFmtId="164" fontId="0" fillId="0" borderId="10" xfId="0" applyNumberFormat="1" applyBorder="1" applyAlignment="1">
      <alignment horizontal="center" vertical="center" wrapText="1"/>
    </xf>
    <xf numFmtId="0" fontId="0" fillId="0" borderId="0" xfId="0"/>
    <xf numFmtId="0" fontId="0" fillId="33" borderId="10" xfId="0" applyFill="1" applyBorder="1" applyAlignment="1">
      <alignment horizontal="center" vertical="center"/>
    </xf>
    <xf numFmtId="0" fontId="21" fillId="36" borderId="10" xfId="444" applyFont="1" applyFill="1" applyBorder="1" applyAlignment="1">
      <alignment horizontal="center" vertical="center"/>
    </xf>
    <xf numFmtId="0" fontId="21" fillId="36" borderId="10" xfId="445" applyFont="1" applyFill="1" applyBorder="1" applyAlignment="1">
      <alignment horizontal="center" vertical="center"/>
    </xf>
    <xf numFmtId="0" fontId="21" fillId="36" borderId="10" xfId="446" applyFont="1" applyFill="1" applyBorder="1" applyAlignment="1">
      <alignment horizontal="center" vertical="center"/>
    </xf>
    <xf numFmtId="0" fontId="21" fillId="36" borderId="10" xfId="447" applyFont="1" applyFill="1" applyBorder="1" applyAlignment="1">
      <alignment horizontal="center" vertical="center"/>
    </xf>
    <xf numFmtId="0" fontId="21" fillId="36" borderId="10" xfId="448" applyFont="1" applyFill="1" applyBorder="1" applyAlignment="1">
      <alignment horizontal="center" vertical="center"/>
    </xf>
    <xf numFmtId="0" fontId="22" fillId="0" borderId="10" xfId="449" applyFont="1" applyBorder="1" applyAlignment="1">
      <alignment horizontal="center" vertical="center"/>
    </xf>
    <xf numFmtId="0" fontId="22" fillId="0" borderId="10" xfId="450" applyFont="1" applyBorder="1" applyAlignment="1">
      <alignment horizontal="center" vertical="center"/>
    </xf>
    <xf numFmtId="0" fontId="20" fillId="0" borderId="10" xfId="450" applyFont="1" applyBorder="1" applyAlignment="1">
      <alignment horizontal="center" vertical="center"/>
    </xf>
    <xf numFmtId="0" fontId="21" fillId="0" borderId="10" xfId="451" applyFont="1" applyBorder="1" applyAlignment="1">
      <alignment horizontal="center" vertical="center"/>
    </xf>
    <xf numFmtId="3" fontId="21" fillId="0" borderId="10" xfId="452" applyNumberFormat="1" applyFont="1" applyBorder="1" applyAlignment="1">
      <alignment horizontal="center" vertical="center"/>
    </xf>
    <xf numFmtId="3" fontId="20" fillId="0" borderId="10" xfId="452" applyNumberFormat="1" applyFont="1" applyBorder="1" applyAlignment="1">
      <alignment horizontal="center" vertical="center"/>
    </xf>
    <xf numFmtId="3" fontId="21" fillId="0" borderId="10" xfId="453" applyNumberFormat="1" applyFont="1" applyBorder="1" applyAlignment="1">
      <alignment horizontal="center" vertical="center"/>
    </xf>
    <xf numFmtId="3" fontId="20" fillId="0" borderId="10" xfId="453" applyNumberFormat="1" applyFont="1" applyBorder="1" applyAlignment="1">
      <alignment horizontal="center" vertical="center"/>
    </xf>
    <xf numFmtId="3" fontId="21" fillId="0" borderId="10" xfId="454" applyNumberFormat="1" applyFont="1" applyBorder="1" applyAlignment="1">
      <alignment horizontal="center" vertical="center"/>
    </xf>
    <xf numFmtId="3" fontId="20" fillId="0" borderId="10" xfId="454" applyNumberFormat="1" applyFont="1" applyBorder="1" applyAlignment="1">
      <alignment horizontal="center" vertical="center"/>
    </xf>
    <xf numFmtId="3" fontId="21" fillId="0" borderId="10" xfId="455" applyNumberFormat="1" applyFont="1" applyBorder="1" applyAlignment="1">
      <alignment horizontal="center" vertical="center"/>
    </xf>
    <xf numFmtId="3" fontId="20" fillId="0" borderId="10" xfId="455" applyNumberFormat="1" applyFont="1" applyBorder="1" applyAlignment="1">
      <alignment horizontal="center" vertical="center"/>
    </xf>
    <xf numFmtId="3" fontId="21" fillId="0" borderId="10" xfId="456" applyNumberFormat="1" applyFont="1" applyBorder="1" applyAlignment="1">
      <alignment horizontal="center" vertical="center"/>
    </xf>
    <xf numFmtId="3" fontId="20" fillId="0" borderId="10" xfId="456" applyNumberFormat="1" applyFont="1" applyBorder="1" applyAlignment="1">
      <alignment horizontal="center" vertical="center"/>
    </xf>
    <xf numFmtId="3" fontId="21" fillId="0" borderId="10" xfId="457" applyNumberFormat="1" applyFont="1" applyBorder="1" applyAlignment="1">
      <alignment horizontal="center" vertical="center"/>
    </xf>
    <xf numFmtId="3" fontId="20" fillId="0" borderId="10" xfId="457" applyNumberFormat="1" applyFont="1" applyBorder="1" applyAlignment="1">
      <alignment horizontal="center" vertical="center"/>
    </xf>
    <xf numFmtId="3" fontId="21" fillId="0" borderId="10" xfId="458" applyNumberFormat="1" applyFont="1" applyBorder="1" applyAlignment="1">
      <alignment horizontal="center" vertical="center"/>
    </xf>
    <xf numFmtId="3" fontId="20" fillId="0" borderId="10" xfId="458" applyNumberFormat="1" applyFont="1" applyBorder="1" applyAlignment="1">
      <alignment horizontal="center" vertical="center"/>
    </xf>
    <xf numFmtId="3" fontId="21" fillId="0" borderId="10" xfId="459" applyNumberFormat="1" applyFont="1" applyBorder="1" applyAlignment="1">
      <alignment horizontal="center" vertical="center"/>
    </xf>
    <xf numFmtId="3" fontId="20" fillId="0" borderId="10" xfId="459" applyNumberFormat="1" applyFont="1" applyBorder="1" applyAlignment="1">
      <alignment horizontal="center" vertical="center"/>
    </xf>
    <xf numFmtId="3" fontId="21" fillId="0" borderId="10" xfId="460" applyNumberFormat="1" applyFont="1" applyBorder="1" applyAlignment="1">
      <alignment horizontal="center" vertical="center"/>
    </xf>
    <xf numFmtId="3" fontId="20" fillId="0" borderId="10" xfId="460" applyNumberFormat="1" applyFont="1" applyBorder="1" applyAlignment="1">
      <alignment horizontal="center" vertical="center"/>
    </xf>
    <xf numFmtId="3" fontId="21" fillId="0" borderId="10" xfId="461" applyNumberFormat="1" applyFont="1" applyBorder="1" applyAlignment="1">
      <alignment horizontal="center" vertical="center"/>
    </xf>
    <xf numFmtId="3" fontId="20" fillId="0" borderId="10" xfId="461" applyNumberFormat="1" applyFont="1" applyBorder="1" applyAlignment="1">
      <alignment horizontal="center" vertical="center"/>
    </xf>
    <xf numFmtId="3" fontId="21" fillId="0" borderId="10" xfId="462" applyNumberFormat="1" applyFont="1" applyBorder="1" applyAlignment="1">
      <alignment horizontal="center" vertical="center"/>
    </xf>
    <xf numFmtId="3" fontId="20" fillId="0" borderId="10" xfId="462" applyNumberFormat="1" applyFont="1" applyBorder="1" applyAlignment="1">
      <alignment horizontal="center" vertical="center"/>
    </xf>
    <xf numFmtId="3" fontId="21" fillId="0" borderId="10" xfId="463" applyNumberFormat="1" applyFont="1" applyBorder="1" applyAlignment="1">
      <alignment horizontal="center" vertical="center"/>
    </xf>
    <xf numFmtId="3" fontId="20" fillId="0" borderId="10" xfId="463" applyNumberFormat="1" applyFont="1" applyBorder="1" applyAlignment="1">
      <alignment horizontal="center" vertical="center"/>
    </xf>
    <xf numFmtId="0" fontId="20" fillId="0" borderId="10" xfId="464" applyBorder="1" applyAlignment="1">
      <alignment horizontal="center" vertical="center"/>
    </xf>
    <xf numFmtId="3" fontId="20" fillId="0" borderId="10" xfId="464" applyNumberFormat="1" applyFont="1" applyBorder="1" applyAlignment="1">
      <alignment horizontal="center" vertical="center"/>
    </xf>
    <xf numFmtId="0" fontId="0" fillId="0" borderId="0" xfId="0"/>
    <xf numFmtId="0" fontId="0" fillId="33" borderId="0" xfId="0" applyFill="1"/>
    <xf numFmtId="0" fontId="21" fillId="0" borderId="12" xfId="443" applyFont="1" applyFill="1" applyBorder="1" applyAlignment="1">
      <alignment horizontal="center" vertical="center"/>
    </xf>
    <xf numFmtId="0" fontId="20" fillId="0" borderId="0" xfId="466" applyFont="1" applyFill="1" applyAlignment="1">
      <alignment horizontal="center" vertical="center"/>
    </xf>
    <xf numFmtId="14" fontId="0" fillId="0" borderId="10" xfId="0" applyNumberForma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0" fillId="35" borderId="0" xfId="0" applyFill="1"/>
    <xf numFmtId="0" fontId="20" fillId="0" borderId="0" xfId="467" applyFont="1" applyAlignment="1">
      <alignment horizontal="center" vertical="center"/>
    </xf>
    <xf numFmtId="0" fontId="21" fillId="37" borderId="10" xfId="467" applyFont="1" applyFill="1" applyBorder="1" applyAlignment="1">
      <alignment horizontal="center" vertical="center"/>
    </xf>
    <xf numFmtId="3" fontId="21" fillId="37" borderId="14" xfId="467" applyNumberFormat="1" applyFont="1" applyFill="1" applyBorder="1" applyAlignment="1">
      <alignment horizontal="center" vertical="center"/>
    </xf>
    <xf numFmtId="3" fontId="0" fillId="39" borderId="10" xfId="0" applyNumberFormat="1" applyFill="1" applyBorder="1" applyAlignment="1">
      <alignment horizontal="center" vertical="center"/>
    </xf>
    <xf numFmtId="3" fontId="20" fillId="39" borderId="10" xfId="2214" applyNumberFormat="1" applyFont="1" applyFill="1" applyBorder="1" applyAlignment="1">
      <alignment horizontal="center" vertical="center"/>
    </xf>
    <xf numFmtId="0" fontId="0" fillId="39" borderId="10" xfId="0" applyFill="1" applyBorder="1" applyAlignment="1">
      <alignment horizontal="center" vertical="center"/>
    </xf>
    <xf numFmtId="3" fontId="20" fillId="39" borderId="10" xfId="2211" applyNumberFormat="1" applyFont="1" applyFill="1" applyBorder="1" applyAlignment="1">
      <alignment horizontal="center" vertical="center"/>
    </xf>
    <xf numFmtId="0" fontId="0" fillId="0" borderId="0" xfId="0" applyFill="1" applyBorder="1"/>
    <xf numFmtId="3" fontId="20" fillId="39" borderId="10" xfId="477" applyNumberFormat="1" applyFont="1" applyFill="1" applyBorder="1" applyAlignment="1">
      <alignment horizontal="center" vertical="center"/>
    </xf>
    <xf numFmtId="0" fontId="0" fillId="38" borderId="10" xfId="0" applyFill="1" applyBorder="1" applyAlignment="1">
      <alignment horizontal="center" vertical="center"/>
    </xf>
    <xf numFmtId="3" fontId="20" fillId="39" borderId="10" xfId="2187" applyNumberFormat="1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3" fontId="20" fillId="39" borderId="10" xfId="2206" applyNumberFormat="1" applyFont="1" applyFill="1" applyBorder="1" applyAlignment="1">
      <alignment horizontal="center" vertical="center"/>
    </xf>
    <xf numFmtId="0" fontId="20" fillId="0" borderId="0" xfId="477"/>
    <xf numFmtId="0" fontId="20" fillId="33" borderId="0" xfId="477" applyFont="1" applyFill="1"/>
    <xf numFmtId="0" fontId="21" fillId="33" borderId="12" xfId="477" applyFont="1" applyFill="1" applyBorder="1" applyAlignment="1">
      <alignment horizontal="center" vertical="center"/>
    </xf>
    <xf numFmtId="0" fontId="21" fillId="36" borderId="10" xfId="477" applyFont="1" applyFill="1" applyBorder="1" applyAlignment="1">
      <alignment horizontal="center" vertical="center"/>
    </xf>
    <xf numFmtId="0" fontId="21" fillId="37" borderId="10" xfId="477" applyFont="1" applyFill="1" applyBorder="1" applyAlignment="1">
      <alignment horizontal="center" vertical="center"/>
    </xf>
    <xf numFmtId="0" fontId="22" fillId="0" borderId="10" xfId="477" applyFont="1" applyBorder="1" applyAlignment="1">
      <alignment horizontal="center" vertical="center"/>
    </xf>
    <xf numFmtId="0" fontId="20" fillId="0" borderId="10" xfId="477" applyFont="1" applyBorder="1" applyAlignment="1">
      <alignment horizontal="center" vertical="center"/>
    </xf>
    <xf numFmtId="0" fontId="20" fillId="0" borderId="10" xfId="477" applyBorder="1" applyAlignment="1">
      <alignment horizontal="center" vertical="center"/>
    </xf>
    <xf numFmtId="3" fontId="20" fillId="0" borderId="10" xfId="477" applyNumberFormat="1" applyFont="1" applyBorder="1" applyAlignment="1">
      <alignment horizontal="center" vertical="center"/>
    </xf>
    <xf numFmtId="0" fontId="1" fillId="0" borderId="0" xfId="2228"/>
    <xf numFmtId="3" fontId="20" fillId="0" borderId="11" xfId="477" applyNumberFormat="1" applyFont="1" applyBorder="1" applyAlignment="1">
      <alignment horizontal="center" vertical="center"/>
    </xf>
    <xf numFmtId="3" fontId="21" fillId="37" borderId="14" xfId="477" applyNumberFormat="1" applyFont="1" applyFill="1" applyBorder="1" applyAlignment="1">
      <alignment horizontal="center" vertical="center"/>
    </xf>
    <xf numFmtId="0" fontId="21" fillId="0" borderId="13" xfId="477" applyFont="1" applyBorder="1" applyAlignment="1">
      <alignment horizontal="center" vertical="center"/>
    </xf>
    <xf numFmtId="0" fontId="21" fillId="0" borderId="13" xfId="477" applyFont="1" applyFill="1" applyBorder="1" applyAlignment="1">
      <alignment horizontal="center" vertical="center"/>
    </xf>
    <xf numFmtId="0" fontId="20" fillId="0" borderId="0" xfId="2187"/>
    <xf numFmtId="0" fontId="20" fillId="33" borderId="0" xfId="2187" applyFont="1" applyFill="1"/>
    <xf numFmtId="0" fontId="21" fillId="33" borderId="12" xfId="2187" applyFont="1" applyFill="1" applyBorder="1" applyAlignment="1">
      <alignment horizontal="center" vertical="center"/>
    </xf>
    <xf numFmtId="0" fontId="21" fillId="36" borderId="10" xfId="2187" applyFont="1" applyFill="1" applyBorder="1" applyAlignment="1">
      <alignment horizontal="center" vertical="center"/>
    </xf>
    <xf numFmtId="0" fontId="21" fillId="37" borderId="10" xfId="2187" applyFont="1" applyFill="1" applyBorder="1" applyAlignment="1">
      <alignment horizontal="center" vertical="center"/>
    </xf>
    <xf numFmtId="0" fontId="22" fillId="0" borderId="10" xfId="2187" applyFont="1" applyBorder="1" applyAlignment="1">
      <alignment horizontal="center" vertical="center"/>
    </xf>
    <xf numFmtId="0" fontId="20" fillId="0" borderId="10" xfId="2187" applyFont="1" applyBorder="1" applyAlignment="1">
      <alignment horizontal="center" vertical="center"/>
    </xf>
    <xf numFmtId="0" fontId="20" fillId="0" borderId="10" xfId="2187" applyBorder="1" applyAlignment="1">
      <alignment horizontal="center" vertical="center"/>
    </xf>
    <xf numFmtId="3" fontId="20" fillId="0" borderId="10" xfId="2187" applyNumberFormat="1" applyFont="1" applyBorder="1" applyAlignment="1">
      <alignment horizontal="center" vertical="center"/>
    </xf>
    <xf numFmtId="0" fontId="1" fillId="0" borderId="0" xfId="481"/>
    <xf numFmtId="3" fontId="20" fillId="0" borderId="11" xfId="2187" applyNumberFormat="1" applyFont="1" applyBorder="1" applyAlignment="1">
      <alignment horizontal="center" vertical="center"/>
    </xf>
    <xf numFmtId="3" fontId="21" fillId="37" borderId="14" xfId="2187" applyNumberFormat="1" applyFont="1" applyFill="1" applyBorder="1" applyAlignment="1">
      <alignment horizontal="center" vertical="center"/>
    </xf>
    <xf numFmtId="0" fontId="21" fillId="0" borderId="13" xfId="2187" applyFont="1" applyBorder="1" applyAlignment="1">
      <alignment horizontal="center" vertical="center"/>
    </xf>
    <xf numFmtId="0" fontId="21" fillId="0" borderId="13" xfId="2187" applyFont="1" applyFill="1" applyBorder="1" applyAlignment="1">
      <alignment horizontal="center" vertical="center"/>
    </xf>
    <xf numFmtId="0" fontId="20" fillId="0" borderId="0" xfId="2211"/>
    <xf numFmtId="0" fontId="20" fillId="33" borderId="0" xfId="2211" applyFont="1" applyFill="1"/>
    <xf numFmtId="0" fontId="21" fillId="33" borderId="12" xfId="2211" applyFont="1" applyFill="1" applyBorder="1" applyAlignment="1">
      <alignment horizontal="center" vertical="center"/>
    </xf>
    <xf numFmtId="0" fontId="21" fillId="36" borderId="10" xfId="2211" applyFont="1" applyFill="1" applyBorder="1" applyAlignment="1">
      <alignment horizontal="center" vertical="center"/>
    </xf>
    <xf numFmtId="0" fontId="21" fillId="37" borderId="10" xfId="2211" applyFont="1" applyFill="1" applyBorder="1" applyAlignment="1">
      <alignment horizontal="center" vertical="center"/>
    </xf>
    <xf numFmtId="0" fontId="22" fillId="0" borderId="10" xfId="2211" applyFont="1" applyBorder="1" applyAlignment="1">
      <alignment horizontal="center" vertical="center"/>
    </xf>
    <xf numFmtId="0" fontId="20" fillId="0" borderId="10" xfId="2211" applyFont="1" applyBorder="1" applyAlignment="1">
      <alignment horizontal="center" vertical="center"/>
    </xf>
    <xf numFmtId="0" fontId="20" fillId="0" borderId="10" xfId="2211" applyBorder="1" applyAlignment="1">
      <alignment horizontal="center" vertical="center"/>
    </xf>
    <xf numFmtId="3" fontId="20" fillId="0" borderId="10" xfId="2211" applyNumberFormat="1" applyFont="1" applyBorder="1" applyAlignment="1">
      <alignment horizontal="center" vertical="center"/>
    </xf>
    <xf numFmtId="0" fontId="1" fillId="0" borderId="0" xfId="2192"/>
    <xf numFmtId="3" fontId="20" fillId="0" borderId="11" xfId="2211" applyNumberFormat="1" applyFont="1" applyBorder="1" applyAlignment="1">
      <alignment horizontal="center" vertical="center"/>
    </xf>
    <xf numFmtId="3" fontId="21" fillId="37" borderId="14" xfId="2211" applyNumberFormat="1" applyFont="1" applyFill="1" applyBorder="1" applyAlignment="1">
      <alignment horizontal="center" vertical="center"/>
    </xf>
    <xf numFmtId="0" fontId="21" fillId="0" borderId="13" xfId="2211" applyFont="1" applyBorder="1" applyAlignment="1">
      <alignment horizontal="center" vertical="center"/>
    </xf>
    <xf numFmtId="3" fontId="0" fillId="34" borderId="10" xfId="0" applyNumberFormat="1" applyFill="1" applyBorder="1" applyAlignment="1">
      <alignment horizontal="center" vertical="center"/>
    </xf>
    <xf numFmtId="0" fontId="20" fillId="0" borderId="0" xfId="2206"/>
    <xf numFmtId="0" fontId="20" fillId="33" borderId="0" xfId="2206" applyFont="1" applyFill="1"/>
    <xf numFmtId="0" fontId="21" fillId="33" borderId="12" xfId="2206" applyFont="1" applyFill="1" applyBorder="1" applyAlignment="1">
      <alignment horizontal="center" vertical="center"/>
    </xf>
    <xf numFmtId="0" fontId="21" fillId="36" borderId="10" xfId="2206" applyFont="1" applyFill="1" applyBorder="1" applyAlignment="1">
      <alignment horizontal="center" vertical="center"/>
    </xf>
    <xf numFmtId="0" fontId="21" fillId="37" borderId="10" xfId="2206" applyFont="1" applyFill="1" applyBorder="1" applyAlignment="1">
      <alignment horizontal="center" vertical="center"/>
    </xf>
    <xf numFmtId="0" fontId="22" fillId="0" borderId="10" xfId="2206" applyFont="1" applyBorder="1" applyAlignment="1">
      <alignment horizontal="center" vertical="center"/>
    </xf>
    <xf numFmtId="0" fontId="20" fillId="0" borderId="10" xfId="2206" applyFont="1" applyBorder="1" applyAlignment="1">
      <alignment horizontal="center" vertical="center"/>
    </xf>
    <xf numFmtId="0" fontId="20" fillId="0" borderId="10" xfId="2206" applyBorder="1" applyAlignment="1">
      <alignment horizontal="center" vertical="center"/>
    </xf>
    <xf numFmtId="3" fontId="20" fillId="0" borderId="10" xfId="2206" applyNumberFormat="1" applyFont="1" applyBorder="1" applyAlignment="1">
      <alignment horizontal="center" vertical="center"/>
    </xf>
    <xf numFmtId="0" fontId="1" fillId="0" borderId="0" xfId="478"/>
    <xf numFmtId="3" fontId="20" fillId="0" borderId="11" xfId="2206" applyNumberFormat="1" applyFont="1" applyBorder="1" applyAlignment="1">
      <alignment horizontal="center" vertical="center"/>
    </xf>
    <xf numFmtId="3" fontId="21" fillId="37" borderId="14" xfId="2206" applyNumberFormat="1" applyFont="1" applyFill="1" applyBorder="1" applyAlignment="1">
      <alignment horizontal="center" vertical="center"/>
    </xf>
    <xf numFmtId="0" fontId="21" fillId="0" borderId="13" xfId="2206" applyFont="1" applyBorder="1" applyAlignment="1">
      <alignment horizontal="center" vertical="center"/>
    </xf>
    <xf numFmtId="164" fontId="0" fillId="38" borderId="10" xfId="0" applyNumberFormat="1" applyFill="1" applyBorder="1" applyAlignment="1">
      <alignment horizontal="center" vertical="center" wrapText="1"/>
    </xf>
    <xf numFmtId="0" fontId="20" fillId="0" borderId="0" xfId="2214" applyFont="1"/>
    <xf numFmtId="0" fontId="20" fillId="33" borderId="0" xfId="2214" applyFont="1" applyFill="1"/>
    <xf numFmtId="0" fontId="20" fillId="0" borderId="0" xfId="2214" applyFont="1" applyAlignment="1">
      <alignment horizontal="center" vertical="center"/>
    </xf>
    <xf numFmtId="0" fontId="21" fillId="33" borderId="12" xfId="2214" applyFont="1" applyFill="1" applyBorder="1" applyAlignment="1">
      <alignment horizontal="center" vertical="center"/>
    </xf>
    <xf numFmtId="0" fontId="21" fillId="36" borderId="10" xfId="2214" applyFont="1" applyFill="1" applyBorder="1" applyAlignment="1">
      <alignment horizontal="center" vertical="center"/>
    </xf>
    <xf numFmtId="0" fontId="21" fillId="37" borderId="10" xfId="2214" applyFont="1" applyFill="1" applyBorder="1" applyAlignment="1">
      <alignment horizontal="center" vertical="center"/>
    </xf>
    <xf numFmtId="0" fontId="22" fillId="0" borderId="10" xfId="2214" applyFont="1" applyBorder="1" applyAlignment="1">
      <alignment horizontal="center" vertical="center"/>
    </xf>
    <xf numFmtId="0" fontId="20" fillId="0" borderId="10" xfId="2214" applyFont="1" applyBorder="1" applyAlignment="1">
      <alignment horizontal="center" vertical="center"/>
    </xf>
    <xf numFmtId="0" fontId="20" fillId="0" borderId="10" xfId="2214" applyBorder="1" applyAlignment="1">
      <alignment horizontal="center" vertical="center"/>
    </xf>
    <xf numFmtId="3" fontId="20" fillId="0" borderId="10" xfId="2214" applyNumberFormat="1" applyFont="1" applyBorder="1" applyAlignment="1">
      <alignment horizontal="center" vertical="center"/>
    </xf>
    <xf numFmtId="0" fontId="1" fillId="0" borderId="0" xfId="2191"/>
    <xf numFmtId="3" fontId="20" fillId="0" borderId="11" xfId="2214" applyNumberFormat="1" applyFont="1" applyBorder="1" applyAlignment="1">
      <alignment horizontal="center" vertical="center"/>
    </xf>
    <xf numFmtId="3" fontId="21" fillId="37" borderId="14" xfId="2214" applyNumberFormat="1" applyFont="1" applyFill="1" applyBorder="1" applyAlignment="1">
      <alignment horizontal="center" vertical="center"/>
    </xf>
    <xf numFmtId="0" fontId="21" fillId="0" borderId="13" xfId="2214" applyFont="1" applyBorder="1" applyAlignment="1">
      <alignment horizontal="center" vertical="center"/>
    </xf>
    <xf numFmtId="0" fontId="22" fillId="0" borderId="10" xfId="449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0" fontId="0" fillId="0" borderId="27" xfId="0" applyBorder="1"/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wrapText="1"/>
    </xf>
    <xf numFmtId="0" fontId="20" fillId="0" borderId="27" xfId="469" applyBorder="1"/>
    <xf numFmtId="0" fontId="0" fillId="38" borderId="11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0" fillId="0" borderId="27" xfId="468" applyBorder="1"/>
    <xf numFmtId="4" fontId="14" fillId="0" borderId="13" xfId="0" applyNumberFormat="1" applyFont="1" applyBorder="1" applyAlignment="1">
      <alignment horizontal="center" vertical="center"/>
    </xf>
    <xf numFmtId="0" fontId="20" fillId="0" borderId="27" xfId="468" applyFill="1" applyBorder="1"/>
    <xf numFmtId="0" fontId="0" fillId="0" borderId="11" xfId="0" applyBorder="1" applyAlignment="1">
      <alignment horizontal="center" vertical="center" wrapText="1"/>
    </xf>
    <xf numFmtId="0" fontId="0" fillId="42" borderId="41" xfId="0" applyFill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20" fillId="0" borderId="27" xfId="2193" applyBorder="1"/>
    <xf numFmtId="0" fontId="0" fillId="0" borderId="34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35" borderId="27" xfId="0" applyFill="1" applyBorder="1"/>
    <xf numFmtId="0" fontId="0" fillId="0" borderId="29" xfId="0" applyBorder="1"/>
    <xf numFmtId="0" fontId="0" fillId="0" borderId="42" xfId="0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0" fontId="0" fillId="38" borderId="20" xfId="0" applyFill="1" applyBorder="1" applyAlignment="1">
      <alignment horizontal="center" vertical="center" wrapText="1"/>
    </xf>
    <xf numFmtId="3" fontId="0" fillId="41" borderId="28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21" fillId="41" borderId="28" xfId="468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23" fillId="0" borderId="13" xfId="0" applyNumberFormat="1" applyFont="1" applyBorder="1" applyAlignment="1">
      <alignment horizontal="center" vertical="center"/>
    </xf>
    <xf numFmtId="0" fontId="0" fillId="0" borderId="30" xfId="0" applyBorder="1"/>
    <xf numFmtId="0" fontId="0" fillId="0" borderId="2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3" fontId="20" fillId="0" borderId="10" xfId="468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27" xfId="0" applyFill="1" applyBorder="1"/>
    <xf numFmtId="14" fontId="0" fillId="0" borderId="15" xfId="0" applyNumberFormat="1" applyBorder="1" applyAlignment="1">
      <alignment horizontal="center" vertical="center"/>
    </xf>
    <xf numFmtId="0" fontId="0" fillId="41" borderId="11" xfId="0" applyFill="1" applyBorder="1" applyAlignment="1">
      <alignment horizontal="center" vertical="center" wrapText="1"/>
    </xf>
    <xf numFmtId="0" fontId="20" fillId="0" borderId="27" xfId="2199" applyBorder="1"/>
    <xf numFmtId="4" fontId="0" fillId="0" borderId="10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2" borderId="1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41" borderId="10" xfId="0" applyFill="1" applyBorder="1" applyAlignment="1">
      <alignment horizontal="center" vertical="center" wrapText="1"/>
    </xf>
    <xf numFmtId="0" fontId="0" fillId="38" borderId="15" xfId="0" applyFill="1" applyBorder="1" applyAlignment="1">
      <alignment horizontal="center" vertical="center" wrapText="1"/>
    </xf>
    <xf numFmtId="0" fontId="1" fillId="0" borderId="0" xfId="473" applyFill="1" applyAlignment="1">
      <alignment wrapText="1"/>
    </xf>
    <xf numFmtId="3" fontId="21" fillId="0" borderId="10" xfId="452" applyNumberFormat="1" applyFont="1" applyFill="1" applyBorder="1" applyAlignment="1">
      <alignment horizontal="center" vertical="center" wrapText="1"/>
    </xf>
    <xf numFmtId="0" fontId="21" fillId="0" borderId="10" xfId="451" applyFont="1" applyFill="1" applyBorder="1" applyAlignment="1">
      <alignment horizontal="center" vertical="center" wrapText="1"/>
    </xf>
    <xf numFmtId="0" fontId="20" fillId="0" borderId="27" xfId="2216" applyBorder="1"/>
    <xf numFmtId="0" fontId="0" fillId="0" borderId="0" xfId="0"/>
    <xf numFmtId="0" fontId="0" fillId="0" borderId="0" xfId="0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21" fillId="36" borderId="10" xfId="444" applyFont="1" applyFill="1" applyBorder="1" applyAlignment="1">
      <alignment horizontal="center" vertical="center"/>
    </xf>
    <xf numFmtId="0" fontId="21" fillId="36" borderId="10" xfId="445" applyFont="1" applyFill="1" applyBorder="1" applyAlignment="1">
      <alignment horizontal="center" vertical="center"/>
    </xf>
    <xf numFmtId="0" fontId="21" fillId="36" borderId="10" xfId="446" applyFont="1" applyFill="1" applyBorder="1" applyAlignment="1">
      <alignment horizontal="center" vertical="center"/>
    </xf>
    <xf numFmtId="0" fontId="21" fillId="36" borderId="10" xfId="447" applyFont="1" applyFill="1" applyBorder="1" applyAlignment="1">
      <alignment horizontal="center" vertical="center"/>
    </xf>
    <xf numFmtId="0" fontId="21" fillId="36" borderId="10" xfId="448" applyFont="1" applyFill="1" applyBorder="1" applyAlignment="1">
      <alignment horizontal="center" vertical="center"/>
    </xf>
    <xf numFmtId="0" fontId="22" fillId="0" borderId="10" xfId="449" applyFont="1" applyBorder="1" applyAlignment="1">
      <alignment horizontal="center" vertical="center"/>
    </xf>
    <xf numFmtId="0" fontId="22" fillId="0" borderId="10" xfId="450" applyFont="1" applyBorder="1" applyAlignment="1">
      <alignment horizontal="center" vertical="center"/>
    </xf>
    <xf numFmtId="0" fontId="20" fillId="0" borderId="10" xfId="450" applyFont="1" applyBorder="1" applyAlignment="1">
      <alignment horizontal="center" vertical="center"/>
    </xf>
    <xf numFmtId="0" fontId="21" fillId="0" borderId="10" xfId="451" applyFont="1" applyBorder="1" applyAlignment="1">
      <alignment horizontal="center" vertical="center"/>
    </xf>
    <xf numFmtId="3" fontId="21" fillId="0" borderId="10" xfId="452" applyNumberFormat="1" applyFont="1" applyBorder="1" applyAlignment="1">
      <alignment horizontal="center" vertical="center"/>
    </xf>
    <xf numFmtId="3" fontId="20" fillId="0" borderId="10" xfId="452" applyNumberFormat="1" applyFont="1" applyBorder="1" applyAlignment="1">
      <alignment horizontal="center" vertical="center"/>
    </xf>
    <xf numFmtId="3" fontId="21" fillId="0" borderId="10" xfId="453" applyNumberFormat="1" applyFont="1" applyBorder="1" applyAlignment="1">
      <alignment horizontal="center" vertical="center"/>
    </xf>
    <xf numFmtId="3" fontId="21" fillId="0" borderId="10" xfId="454" applyNumberFormat="1" applyFont="1" applyBorder="1" applyAlignment="1">
      <alignment horizontal="center" vertical="center"/>
    </xf>
    <xf numFmtId="3" fontId="21" fillId="0" borderId="10" xfId="455" applyNumberFormat="1" applyFont="1" applyBorder="1" applyAlignment="1">
      <alignment horizontal="center" vertical="center"/>
    </xf>
    <xf numFmtId="3" fontId="21" fillId="0" borderId="10" xfId="456" applyNumberFormat="1" applyFont="1" applyBorder="1" applyAlignment="1">
      <alignment horizontal="center" vertical="center"/>
    </xf>
    <xf numFmtId="3" fontId="21" fillId="0" borderId="10" xfId="457" applyNumberFormat="1" applyFont="1" applyBorder="1" applyAlignment="1">
      <alignment horizontal="center" vertical="center"/>
    </xf>
    <xf numFmtId="3" fontId="21" fillId="0" borderId="10" xfId="458" applyNumberFormat="1" applyFont="1" applyBorder="1" applyAlignment="1">
      <alignment horizontal="center" vertical="center"/>
    </xf>
    <xf numFmtId="3" fontId="21" fillId="0" borderId="10" xfId="459" applyNumberFormat="1" applyFont="1" applyBorder="1" applyAlignment="1">
      <alignment horizontal="center" vertical="center"/>
    </xf>
    <xf numFmtId="3" fontId="21" fillId="0" borderId="10" xfId="460" applyNumberFormat="1" applyFont="1" applyBorder="1" applyAlignment="1">
      <alignment horizontal="center" vertical="center"/>
    </xf>
    <xf numFmtId="3" fontId="21" fillId="0" borderId="10" xfId="461" applyNumberFormat="1" applyFont="1" applyBorder="1" applyAlignment="1">
      <alignment horizontal="center" vertical="center"/>
    </xf>
    <xf numFmtId="3" fontId="21" fillId="0" borderId="10" xfId="462" applyNumberFormat="1" applyFont="1" applyBorder="1" applyAlignment="1">
      <alignment horizontal="center" vertical="center"/>
    </xf>
    <xf numFmtId="3" fontId="21" fillId="0" borderId="10" xfId="463" applyNumberFormat="1" applyFont="1" applyBorder="1" applyAlignment="1">
      <alignment horizontal="center" vertical="center"/>
    </xf>
    <xf numFmtId="0" fontId="20" fillId="0" borderId="10" xfId="464" applyBorder="1" applyAlignment="1">
      <alignment horizontal="center" vertical="center"/>
    </xf>
    <xf numFmtId="0" fontId="0" fillId="33" borderId="0" xfId="0" applyFill="1"/>
    <xf numFmtId="0" fontId="21" fillId="0" borderId="12" xfId="443" applyFont="1" applyFill="1" applyBorder="1" applyAlignment="1">
      <alignment horizontal="center" vertical="center"/>
    </xf>
    <xf numFmtId="0" fontId="20" fillId="0" borderId="0" xfId="466" applyFont="1" applyFill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0" fillId="35" borderId="0" xfId="0" applyFill="1"/>
    <xf numFmtId="0" fontId="20" fillId="0" borderId="0" xfId="468"/>
    <xf numFmtId="0" fontId="20" fillId="33" borderId="0" xfId="468" applyFont="1" applyFill="1"/>
    <xf numFmtId="0" fontId="21" fillId="33" borderId="12" xfId="468" applyFont="1" applyFill="1" applyBorder="1" applyAlignment="1">
      <alignment horizontal="center" vertical="center"/>
    </xf>
    <xf numFmtId="0" fontId="21" fillId="36" borderId="10" xfId="468" applyFont="1" applyFill="1" applyBorder="1" applyAlignment="1">
      <alignment horizontal="center" vertical="center"/>
    </xf>
    <xf numFmtId="0" fontId="21" fillId="37" borderId="10" xfId="468" applyFont="1" applyFill="1" applyBorder="1" applyAlignment="1">
      <alignment horizontal="center" vertical="center"/>
    </xf>
    <xf numFmtId="0" fontId="22" fillId="0" borderId="10" xfId="468" applyFont="1" applyBorder="1" applyAlignment="1">
      <alignment horizontal="center" vertical="center"/>
    </xf>
    <xf numFmtId="0" fontId="20" fillId="0" borderId="10" xfId="468" applyFont="1" applyBorder="1" applyAlignment="1">
      <alignment horizontal="center" vertical="center"/>
    </xf>
    <xf numFmtId="0" fontId="20" fillId="0" borderId="10" xfId="468" applyBorder="1" applyAlignment="1">
      <alignment horizontal="center" vertical="center"/>
    </xf>
    <xf numFmtId="3" fontId="20" fillId="0" borderId="10" xfId="468" applyNumberFormat="1" applyFont="1" applyBorder="1" applyAlignment="1">
      <alignment horizontal="center" vertical="center"/>
    </xf>
    <xf numFmtId="0" fontId="1" fillId="0" borderId="0" xfId="485"/>
    <xf numFmtId="3" fontId="1" fillId="0" borderId="10" xfId="473" applyNumberFormat="1" applyBorder="1" applyAlignment="1">
      <alignment horizontal="center" vertical="center"/>
    </xf>
    <xf numFmtId="0" fontId="21" fillId="33" borderId="12" xfId="443" applyFont="1" applyFill="1" applyBorder="1" applyAlignment="1">
      <alignment horizontal="center" vertical="center"/>
    </xf>
    <xf numFmtId="0" fontId="1" fillId="0" borderId="0" xfId="472"/>
    <xf numFmtId="3" fontId="20" fillId="0" borderId="11" xfId="468" applyNumberFormat="1" applyFont="1" applyBorder="1" applyAlignment="1">
      <alignment horizontal="center" vertical="center"/>
    </xf>
    <xf numFmtId="3" fontId="21" fillId="37" borderId="14" xfId="468" applyNumberFormat="1" applyFont="1" applyFill="1" applyBorder="1" applyAlignment="1">
      <alignment horizontal="center" vertical="center"/>
    </xf>
    <xf numFmtId="0" fontId="21" fillId="0" borderId="13" xfId="468" applyFont="1" applyBorder="1" applyAlignment="1">
      <alignment horizontal="center" vertical="center"/>
    </xf>
    <xf numFmtId="0" fontId="21" fillId="0" borderId="13" xfId="468" applyFont="1" applyFill="1" applyBorder="1" applyAlignment="1">
      <alignment horizontal="center" vertical="center"/>
    </xf>
    <xf numFmtId="0" fontId="20" fillId="0" borderId="0" xfId="469"/>
    <xf numFmtId="0" fontId="20" fillId="33" borderId="0" xfId="469" applyFont="1" applyFill="1"/>
    <xf numFmtId="0" fontId="21" fillId="33" borderId="12" xfId="469" applyFont="1" applyFill="1" applyBorder="1" applyAlignment="1">
      <alignment horizontal="center" vertical="center"/>
    </xf>
    <xf numFmtId="0" fontId="21" fillId="36" borderId="10" xfId="469" applyFont="1" applyFill="1" applyBorder="1" applyAlignment="1">
      <alignment horizontal="center" vertical="center"/>
    </xf>
    <xf numFmtId="0" fontId="21" fillId="37" borderId="10" xfId="469" applyFont="1" applyFill="1" applyBorder="1" applyAlignment="1">
      <alignment horizontal="center" vertical="center"/>
    </xf>
    <xf numFmtId="0" fontId="22" fillId="0" borderId="10" xfId="469" applyFont="1" applyBorder="1" applyAlignment="1">
      <alignment horizontal="center" vertical="center"/>
    </xf>
    <xf numFmtId="0" fontId="20" fillId="0" borderId="10" xfId="469" applyFont="1" applyBorder="1" applyAlignment="1">
      <alignment horizontal="center" vertical="center"/>
    </xf>
    <xf numFmtId="0" fontId="20" fillId="0" borderId="10" xfId="469" applyBorder="1" applyAlignment="1">
      <alignment horizontal="center" vertical="center"/>
    </xf>
    <xf numFmtId="3" fontId="20" fillId="0" borderId="10" xfId="469" applyNumberFormat="1" applyFont="1" applyBorder="1" applyAlignment="1">
      <alignment horizontal="center" vertical="center"/>
    </xf>
    <xf numFmtId="0" fontId="1" fillId="0" borderId="0" xfId="2223"/>
    <xf numFmtId="0" fontId="1" fillId="0" borderId="0" xfId="473"/>
    <xf numFmtId="3" fontId="21" fillId="37" borderId="14" xfId="469" applyNumberFormat="1" applyFont="1" applyFill="1" applyBorder="1" applyAlignment="1">
      <alignment horizontal="center" vertical="center"/>
    </xf>
    <xf numFmtId="0" fontId="21" fillId="0" borderId="13" xfId="469" applyFont="1" applyBorder="1" applyAlignment="1">
      <alignment horizontal="center" vertical="center"/>
    </xf>
    <xf numFmtId="0" fontId="21" fillId="0" borderId="13" xfId="469" applyFont="1" applyFill="1" applyBorder="1" applyAlignment="1">
      <alignment horizontal="center" vertical="center"/>
    </xf>
    <xf numFmtId="0" fontId="20" fillId="0" borderId="0" xfId="2199"/>
    <xf numFmtId="0" fontId="20" fillId="33" borderId="0" xfId="2199" applyFont="1" applyFill="1"/>
    <xf numFmtId="0" fontId="21" fillId="33" borderId="12" xfId="2199" applyFont="1" applyFill="1" applyBorder="1" applyAlignment="1">
      <alignment horizontal="center" vertical="center"/>
    </xf>
    <xf numFmtId="0" fontId="21" fillId="36" borderId="10" xfId="2199" applyFont="1" applyFill="1" applyBorder="1" applyAlignment="1">
      <alignment horizontal="center" vertical="center"/>
    </xf>
    <xf numFmtId="0" fontId="21" fillId="37" borderId="10" xfId="2199" applyFont="1" applyFill="1" applyBorder="1" applyAlignment="1">
      <alignment horizontal="center" vertical="center"/>
    </xf>
    <xf numFmtId="0" fontId="22" fillId="0" borderId="10" xfId="2199" applyFont="1" applyBorder="1" applyAlignment="1">
      <alignment horizontal="center" vertical="center"/>
    </xf>
    <xf numFmtId="0" fontId="20" fillId="0" borderId="10" xfId="2199" applyFont="1" applyBorder="1" applyAlignment="1">
      <alignment horizontal="center" vertical="center"/>
    </xf>
    <xf numFmtId="0" fontId="20" fillId="0" borderId="10" xfId="2199" applyBorder="1" applyAlignment="1">
      <alignment horizontal="center" vertical="center"/>
    </xf>
    <xf numFmtId="3" fontId="20" fillId="0" borderId="10" xfId="2199" applyNumberFormat="1" applyFont="1" applyBorder="1" applyAlignment="1">
      <alignment horizontal="center" vertical="center"/>
    </xf>
    <xf numFmtId="0" fontId="1" fillId="0" borderId="0" xfId="2194"/>
    <xf numFmtId="3" fontId="20" fillId="0" borderId="11" xfId="2199" applyNumberFormat="1" applyFont="1" applyBorder="1" applyAlignment="1">
      <alignment horizontal="center" vertical="center"/>
    </xf>
    <xf numFmtId="3" fontId="21" fillId="37" borderId="14" xfId="2199" applyNumberFormat="1" applyFont="1" applyFill="1" applyBorder="1" applyAlignment="1">
      <alignment horizontal="center" vertical="center"/>
    </xf>
    <xf numFmtId="0" fontId="21" fillId="0" borderId="13" xfId="2199" applyFont="1" applyBorder="1" applyAlignment="1">
      <alignment horizontal="center" vertical="center"/>
    </xf>
    <xf numFmtId="0" fontId="20" fillId="0" borderId="0" xfId="2216"/>
    <xf numFmtId="0" fontId="20" fillId="33" borderId="0" xfId="2216" applyFont="1" applyFill="1"/>
    <xf numFmtId="0" fontId="21" fillId="33" borderId="12" xfId="2216" applyFont="1" applyFill="1" applyBorder="1" applyAlignment="1">
      <alignment horizontal="center" vertical="center"/>
    </xf>
    <xf numFmtId="0" fontId="21" fillId="36" borderId="10" xfId="2216" applyFont="1" applyFill="1" applyBorder="1" applyAlignment="1">
      <alignment horizontal="center" vertical="center"/>
    </xf>
    <xf numFmtId="0" fontId="21" fillId="37" borderId="10" xfId="2216" applyFont="1" applyFill="1" applyBorder="1" applyAlignment="1">
      <alignment horizontal="center" vertical="center"/>
    </xf>
    <xf numFmtId="0" fontId="22" fillId="0" borderId="10" xfId="2216" applyFont="1" applyBorder="1" applyAlignment="1">
      <alignment horizontal="center" vertical="center"/>
    </xf>
    <xf numFmtId="0" fontId="20" fillId="0" borderId="10" xfId="2216" applyFont="1" applyBorder="1" applyAlignment="1">
      <alignment horizontal="center" vertical="center"/>
    </xf>
    <xf numFmtId="0" fontId="20" fillId="0" borderId="10" xfId="2216" applyBorder="1" applyAlignment="1">
      <alignment horizontal="center" vertical="center"/>
    </xf>
    <xf numFmtId="3" fontId="20" fillId="0" borderId="10" xfId="2216" applyNumberFormat="1" applyFont="1" applyBorder="1" applyAlignment="1">
      <alignment horizontal="center" vertical="center"/>
    </xf>
    <xf numFmtId="0" fontId="1" fillId="0" borderId="0" xfId="486"/>
    <xf numFmtId="3" fontId="20" fillId="0" borderId="11" xfId="2216" applyNumberFormat="1" applyFont="1" applyBorder="1" applyAlignment="1">
      <alignment horizontal="center" vertical="center"/>
    </xf>
    <xf numFmtId="3" fontId="21" fillId="37" borderId="14" xfId="2216" applyNumberFormat="1" applyFont="1" applyFill="1" applyBorder="1" applyAlignment="1">
      <alignment horizontal="center" vertical="center"/>
    </xf>
    <xf numFmtId="0" fontId="21" fillId="0" borderId="13" xfId="2216" applyFont="1" applyBorder="1" applyAlignment="1">
      <alignment horizontal="center" vertical="center"/>
    </xf>
    <xf numFmtId="0" fontId="20" fillId="0" borderId="0" xfId="2193"/>
    <xf numFmtId="0" fontId="20" fillId="0" borderId="0" xfId="2193" applyFont="1"/>
    <xf numFmtId="0" fontId="20" fillId="33" borderId="0" xfId="2193" applyFont="1" applyFill="1"/>
    <xf numFmtId="0" fontId="20" fillId="0" borderId="0" xfId="2193" applyFont="1" applyAlignment="1">
      <alignment horizontal="center" vertical="center"/>
    </xf>
    <xf numFmtId="0" fontId="21" fillId="33" borderId="12" xfId="2193" applyFont="1" applyFill="1" applyBorder="1" applyAlignment="1">
      <alignment horizontal="center" vertical="center"/>
    </xf>
    <xf numFmtId="0" fontId="21" fillId="36" borderId="10" xfId="2193" applyFont="1" applyFill="1" applyBorder="1" applyAlignment="1">
      <alignment horizontal="center" vertical="center"/>
    </xf>
    <xf numFmtId="0" fontId="21" fillId="37" borderId="10" xfId="2193" applyFont="1" applyFill="1" applyBorder="1" applyAlignment="1">
      <alignment horizontal="center" vertical="center"/>
    </xf>
    <xf numFmtId="0" fontId="22" fillId="0" borderId="10" xfId="2193" applyFont="1" applyBorder="1" applyAlignment="1">
      <alignment horizontal="center" vertical="center"/>
    </xf>
    <xf numFmtId="0" fontId="20" fillId="0" borderId="10" xfId="2193" applyFont="1" applyBorder="1" applyAlignment="1">
      <alignment horizontal="center" vertical="center"/>
    </xf>
    <xf numFmtId="0" fontId="20" fillId="0" borderId="10" xfId="2193" applyBorder="1" applyAlignment="1">
      <alignment horizontal="center" vertical="center"/>
    </xf>
    <xf numFmtId="3" fontId="20" fillId="0" borderId="10" xfId="2193" applyNumberFormat="1" applyFont="1" applyBorder="1" applyAlignment="1">
      <alignment horizontal="center" vertical="center"/>
    </xf>
    <xf numFmtId="0" fontId="1" fillId="0" borderId="0" xfId="2189"/>
    <xf numFmtId="3" fontId="20" fillId="0" borderId="11" xfId="2193" applyNumberFormat="1" applyFont="1" applyBorder="1" applyAlignment="1">
      <alignment horizontal="center" vertical="center"/>
    </xf>
    <xf numFmtId="3" fontId="21" fillId="37" borderId="14" xfId="2193" applyNumberFormat="1" applyFont="1" applyFill="1" applyBorder="1" applyAlignment="1">
      <alignment horizontal="center" vertical="center"/>
    </xf>
    <xf numFmtId="0" fontId="21" fillId="0" borderId="13" xfId="2193" applyFont="1" applyBorder="1" applyAlignment="1">
      <alignment horizontal="center" vertical="center"/>
    </xf>
    <xf numFmtId="0" fontId="1" fillId="0" borderId="0" xfId="473" applyFill="1"/>
    <xf numFmtId="0" fontId="22" fillId="0" borderId="10" xfId="449" applyFont="1" applyFill="1" applyBorder="1" applyAlignment="1">
      <alignment horizontal="center" vertical="center"/>
    </xf>
    <xf numFmtId="0" fontId="21" fillId="0" borderId="10" xfId="451" applyFont="1" applyFill="1" applyBorder="1" applyAlignment="1">
      <alignment horizontal="center" vertical="center"/>
    </xf>
    <xf numFmtId="0" fontId="20" fillId="0" borderId="0" xfId="468" applyFill="1"/>
    <xf numFmtId="0" fontId="22" fillId="0" borderId="10" xfId="450" applyFont="1" applyFill="1" applyBorder="1" applyAlignment="1">
      <alignment horizontal="center" vertical="center"/>
    </xf>
    <xf numFmtId="0" fontId="20" fillId="0" borderId="10" xfId="450" applyFont="1" applyFill="1" applyBorder="1" applyAlignment="1">
      <alignment horizontal="center" vertical="center"/>
    </xf>
    <xf numFmtId="3" fontId="1" fillId="0" borderId="0" xfId="473" applyNumberFormat="1" applyBorder="1" applyAlignment="1">
      <alignment horizontal="center" vertical="center"/>
    </xf>
    <xf numFmtId="0" fontId="21" fillId="40" borderId="10" xfId="451" applyFont="1" applyFill="1" applyBorder="1" applyAlignment="1">
      <alignment horizontal="center" vertical="center"/>
    </xf>
    <xf numFmtId="0" fontId="21" fillId="41" borderId="10" xfId="468" applyFont="1" applyFill="1" applyBorder="1" applyAlignment="1">
      <alignment horizontal="center" vertical="center"/>
    </xf>
    <xf numFmtId="3" fontId="0" fillId="41" borderId="10" xfId="0" applyNumberFormat="1" applyFill="1" applyBorder="1" applyAlignment="1">
      <alignment horizontal="center" vertical="center"/>
    </xf>
    <xf numFmtId="3" fontId="20" fillId="40" borderId="10" xfId="468" applyNumberFormat="1" applyFont="1" applyFill="1" applyBorder="1" applyAlignment="1">
      <alignment horizontal="center" vertical="center"/>
    </xf>
    <xf numFmtId="0" fontId="0" fillId="0" borderId="0" xfId="0"/>
    <xf numFmtId="3" fontId="0" fillId="0" borderId="10" xfId="0" applyNumberFormat="1" applyBorder="1" applyAlignment="1">
      <alignment horizontal="center" vertical="center"/>
    </xf>
    <xf numFmtId="3" fontId="20" fillId="0" borderId="10" xfId="452" applyNumberFormat="1" applyFont="1" applyBorder="1" applyAlignment="1">
      <alignment horizontal="center" vertical="center"/>
    </xf>
    <xf numFmtId="0" fontId="0" fillId="35" borderId="0" xfId="0" applyFill="1"/>
    <xf numFmtId="3" fontId="20" fillId="0" borderId="10" xfId="468" applyNumberFormat="1" applyFont="1" applyBorder="1" applyAlignment="1">
      <alignment horizontal="center" vertical="center"/>
    </xf>
    <xf numFmtId="3" fontId="1" fillId="0" borderId="10" xfId="473" applyNumberFormat="1" applyBorder="1" applyAlignment="1">
      <alignment horizontal="center" vertical="center"/>
    </xf>
    <xf numFmtId="3" fontId="20" fillId="0" borderId="11" xfId="468" applyNumberFormat="1" applyFont="1" applyBorder="1" applyAlignment="1">
      <alignment horizontal="center" vertical="center"/>
    </xf>
    <xf numFmtId="3" fontId="20" fillId="0" borderId="10" xfId="469" applyNumberFormat="1" applyFont="1" applyBorder="1" applyAlignment="1">
      <alignment horizontal="center" vertical="center"/>
    </xf>
    <xf numFmtId="3" fontId="21" fillId="37" borderId="14" xfId="469" applyNumberFormat="1" applyFont="1" applyFill="1" applyBorder="1" applyAlignment="1">
      <alignment horizontal="center" vertical="center"/>
    </xf>
    <xf numFmtId="3" fontId="20" fillId="0" borderId="11" xfId="2199" applyNumberFormat="1" applyFont="1" applyBorder="1" applyAlignment="1">
      <alignment horizontal="center" vertical="center"/>
    </xf>
    <xf numFmtId="3" fontId="21" fillId="37" borderId="14" xfId="2199" applyNumberFormat="1" applyFont="1" applyFill="1" applyBorder="1" applyAlignment="1">
      <alignment horizontal="center" vertical="center"/>
    </xf>
    <xf numFmtId="3" fontId="20" fillId="0" borderId="11" xfId="2216" applyNumberFormat="1" applyFont="1" applyBorder="1" applyAlignment="1">
      <alignment horizontal="center" vertical="center"/>
    </xf>
    <xf numFmtId="3" fontId="21" fillId="37" borderId="14" xfId="2216" applyNumberFormat="1" applyFont="1" applyFill="1" applyBorder="1" applyAlignment="1">
      <alignment horizontal="center" vertical="center"/>
    </xf>
    <xf numFmtId="3" fontId="20" fillId="0" borderId="11" xfId="2193" applyNumberFormat="1" applyFont="1" applyBorder="1" applyAlignment="1">
      <alignment horizontal="center" vertical="center"/>
    </xf>
    <xf numFmtId="3" fontId="21" fillId="37" borderId="14" xfId="2193" applyNumberFormat="1" applyFont="1" applyFill="1" applyBorder="1" applyAlignment="1">
      <alignment horizontal="center" vertical="center"/>
    </xf>
    <xf numFmtId="0" fontId="21" fillId="41" borderId="10" xfId="468" applyFont="1" applyFill="1" applyBorder="1" applyAlignment="1">
      <alignment horizontal="center" vertical="center"/>
    </xf>
    <xf numFmtId="3" fontId="0" fillId="41" borderId="10" xfId="0" applyNumberFormat="1" applyFill="1" applyBorder="1" applyAlignment="1">
      <alignment horizontal="center" vertical="center"/>
    </xf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0" xfId="0" applyFill="1"/>
    <xf numFmtId="0" fontId="21" fillId="36" borderId="10" xfId="444" applyFont="1" applyFill="1" applyBorder="1" applyAlignment="1">
      <alignment horizontal="center" vertical="center"/>
    </xf>
    <xf numFmtId="0" fontId="21" fillId="36" borderId="10" xfId="445" applyFont="1" applyFill="1" applyBorder="1" applyAlignment="1">
      <alignment horizontal="center" vertical="center"/>
    </xf>
    <xf numFmtId="0" fontId="21" fillId="36" borderId="10" xfId="446" applyFont="1" applyFill="1" applyBorder="1" applyAlignment="1">
      <alignment horizontal="center" vertical="center"/>
    </xf>
    <xf numFmtId="0" fontId="21" fillId="36" borderId="10" xfId="447" applyFont="1" applyFill="1" applyBorder="1" applyAlignment="1">
      <alignment horizontal="center" vertical="center"/>
    </xf>
    <xf numFmtId="0" fontId="21" fillId="36" borderId="10" xfId="448" applyFont="1" applyFill="1" applyBorder="1" applyAlignment="1">
      <alignment horizontal="center" vertical="center"/>
    </xf>
    <xf numFmtId="0" fontId="22" fillId="0" borderId="10" xfId="449" applyFont="1" applyBorder="1" applyAlignment="1">
      <alignment horizontal="center" vertical="center"/>
    </xf>
    <xf numFmtId="0" fontId="22" fillId="0" borderId="10" xfId="450" applyFont="1" applyBorder="1" applyAlignment="1">
      <alignment horizontal="center" vertical="center"/>
    </xf>
    <xf numFmtId="0" fontId="20" fillId="0" borderId="10" xfId="450" applyFont="1" applyBorder="1" applyAlignment="1">
      <alignment horizontal="center" vertical="center"/>
    </xf>
    <xf numFmtId="0" fontId="21" fillId="0" borderId="10" xfId="45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0" fillId="35" borderId="0" xfId="0" applyFill="1"/>
    <xf numFmtId="0" fontId="0" fillId="38" borderId="10" xfId="0" applyFill="1" applyBorder="1" applyAlignment="1">
      <alignment horizontal="center" vertical="center"/>
    </xf>
    <xf numFmtId="0" fontId="20" fillId="0" borderId="0" xfId="468"/>
    <xf numFmtId="0" fontId="21" fillId="36" borderId="10" xfId="468" applyFont="1" applyFill="1" applyBorder="1" applyAlignment="1">
      <alignment horizontal="center" vertical="center"/>
    </xf>
    <xf numFmtId="0" fontId="22" fillId="0" borderId="10" xfId="468" applyFont="1" applyBorder="1" applyAlignment="1">
      <alignment horizontal="center" vertical="center"/>
    </xf>
    <xf numFmtId="0" fontId="20" fillId="0" borderId="10" xfId="468" applyFont="1" applyBorder="1" applyAlignment="1">
      <alignment horizontal="center" vertical="center"/>
    </xf>
    <xf numFmtId="3" fontId="20" fillId="0" borderId="10" xfId="468" applyNumberFormat="1" applyFont="1" applyBorder="1" applyAlignment="1">
      <alignment horizontal="center" vertical="center"/>
    </xf>
    <xf numFmtId="3" fontId="1" fillId="0" borderId="10" xfId="473" applyNumberFormat="1" applyBorder="1" applyAlignment="1">
      <alignment horizontal="center" vertical="center"/>
    </xf>
    <xf numFmtId="0" fontId="1" fillId="0" borderId="0" xfId="472"/>
    <xf numFmtId="3" fontId="20" fillId="0" borderId="11" xfId="468" applyNumberFormat="1" applyFont="1" applyBorder="1" applyAlignment="1">
      <alignment horizontal="center" vertical="center"/>
    </xf>
    <xf numFmtId="0" fontId="21" fillId="0" borderId="13" xfId="468" applyFont="1" applyBorder="1" applyAlignment="1">
      <alignment horizontal="center" vertical="center"/>
    </xf>
    <xf numFmtId="0" fontId="21" fillId="0" borderId="13" xfId="468" applyFont="1" applyFill="1" applyBorder="1" applyAlignment="1">
      <alignment horizontal="center" vertical="center"/>
    </xf>
    <xf numFmtId="0" fontId="20" fillId="0" borderId="0" xfId="469"/>
    <xf numFmtId="0" fontId="20" fillId="33" borderId="0" xfId="469" applyFont="1" applyFill="1"/>
    <xf numFmtId="0" fontId="1" fillId="0" borderId="0" xfId="473"/>
    <xf numFmtId="0" fontId="20" fillId="0" borderId="0" xfId="2199"/>
    <xf numFmtId="0" fontId="20" fillId="0" borderId="0" xfId="2216"/>
    <xf numFmtId="0" fontId="20" fillId="0" borderId="0" xfId="2193"/>
    <xf numFmtId="0" fontId="1" fillId="0" borderId="0" xfId="473" applyFill="1"/>
    <xf numFmtId="0" fontId="22" fillId="0" borderId="10" xfId="449" applyFont="1" applyFill="1" applyBorder="1" applyAlignment="1">
      <alignment horizontal="center" vertical="center"/>
    </xf>
    <xf numFmtId="0" fontId="21" fillId="0" borderId="10" xfId="451" applyFont="1" applyFill="1" applyBorder="1" applyAlignment="1">
      <alignment horizontal="center" vertical="center"/>
    </xf>
    <xf numFmtId="3" fontId="21" fillId="0" borderId="10" xfId="452" applyNumberFormat="1" applyFont="1" applyFill="1" applyBorder="1" applyAlignment="1">
      <alignment horizontal="center" vertical="center"/>
    </xf>
    <xf numFmtId="0" fontId="20" fillId="0" borderId="0" xfId="468" applyFill="1"/>
    <xf numFmtId="0" fontId="22" fillId="0" borderId="10" xfId="450" applyFont="1" applyFill="1" applyBorder="1" applyAlignment="1">
      <alignment horizontal="center" vertical="center"/>
    </xf>
    <xf numFmtId="0" fontId="20" fillId="0" borderId="10" xfId="450" applyFont="1" applyFill="1" applyBorder="1" applyAlignment="1">
      <alignment horizontal="center" vertical="center"/>
    </xf>
    <xf numFmtId="3" fontId="1" fillId="0" borderId="0" xfId="473" applyNumberFormat="1" applyBorder="1" applyAlignment="1">
      <alignment horizontal="center" vertical="center"/>
    </xf>
    <xf numFmtId="0" fontId="0" fillId="38" borderId="25" xfId="0" applyFill="1" applyBorder="1" applyAlignment="1">
      <alignment horizontal="center" vertical="center"/>
    </xf>
    <xf numFmtId="0" fontId="0" fillId="38" borderId="44" xfId="0" applyFill="1" applyBorder="1" applyAlignment="1">
      <alignment horizontal="center" vertical="center"/>
    </xf>
    <xf numFmtId="0" fontId="0" fillId="38" borderId="26" xfId="0" applyFill="1" applyBorder="1" applyAlignment="1">
      <alignment horizontal="center" vertical="center"/>
    </xf>
    <xf numFmtId="0" fontId="0" fillId="41" borderId="22" xfId="0" applyFill="1" applyBorder="1" applyAlignment="1">
      <alignment horizontal="center" vertical="center"/>
    </xf>
    <xf numFmtId="0" fontId="0" fillId="41" borderId="23" xfId="0" applyFill="1" applyBorder="1" applyAlignment="1">
      <alignment horizontal="center" vertical="center"/>
    </xf>
    <xf numFmtId="0" fontId="0" fillId="41" borderId="24" xfId="0" applyFill="1" applyBorder="1" applyAlignment="1">
      <alignment horizontal="center" vertical="center"/>
    </xf>
    <xf numFmtId="0" fontId="0" fillId="38" borderId="31" xfId="0" applyFill="1" applyBorder="1" applyAlignment="1">
      <alignment horizontal="center" vertical="center"/>
    </xf>
    <xf numFmtId="0" fontId="0" fillId="38" borderId="32" xfId="0" applyFill="1" applyBorder="1" applyAlignment="1">
      <alignment horizontal="center" vertical="center"/>
    </xf>
    <xf numFmtId="0" fontId="0" fillId="38" borderId="33" xfId="0" applyFill="1" applyBorder="1" applyAlignment="1">
      <alignment horizontal="center" vertical="center"/>
    </xf>
    <xf numFmtId="0" fontId="0" fillId="41" borderId="37" xfId="0" applyFill="1" applyBorder="1" applyAlignment="1">
      <alignment horizontal="center" vertical="center"/>
    </xf>
    <xf numFmtId="0" fontId="0" fillId="41" borderId="38" xfId="0" applyFill="1" applyBorder="1" applyAlignment="1">
      <alignment horizontal="center" vertical="center"/>
    </xf>
    <xf numFmtId="0" fontId="0" fillId="41" borderId="39" xfId="0" applyFill="1" applyBorder="1" applyAlignment="1">
      <alignment horizontal="center" vertical="center"/>
    </xf>
  </cellXfs>
  <cellStyles count="2249">
    <cellStyle name="20% - Accent1" xfId="19" builtinId="30" customBuiltin="1"/>
    <cellStyle name="20% - Accent1 10" xfId="1046"/>
    <cellStyle name="20% - Accent1 11" xfId="1064"/>
    <cellStyle name="20% - Accent1 12" xfId="1083"/>
    <cellStyle name="20% - Accent1 13" xfId="1099"/>
    <cellStyle name="20% - Accent1 14" xfId="1116"/>
    <cellStyle name="20% - Accent1 15" xfId="1134"/>
    <cellStyle name="20% - Accent1 16" xfId="1151"/>
    <cellStyle name="20% - Accent1 17" xfId="1170"/>
    <cellStyle name="20% - Accent1 18" xfId="1187"/>
    <cellStyle name="20% - Accent1 19" xfId="1204"/>
    <cellStyle name="20% - Accent1 2" xfId="509"/>
    <cellStyle name="20% - Accent1 20" xfId="1227"/>
    <cellStyle name="20% - Accent1 21" xfId="1238"/>
    <cellStyle name="20% - Accent1 22" xfId="1254"/>
    <cellStyle name="20% - Accent1 23" xfId="1271"/>
    <cellStyle name="20% - Accent1 24" xfId="1290"/>
    <cellStyle name="20% - Accent1 25" xfId="1308"/>
    <cellStyle name="20% - Accent1 26" xfId="1327"/>
    <cellStyle name="20% - Accent1 27" xfId="1344"/>
    <cellStyle name="20% - Accent1 28" xfId="1362"/>
    <cellStyle name="20% - Accent1 29" xfId="1378"/>
    <cellStyle name="20% - Accent1 3" xfId="920"/>
    <cellStyle name="20% - Accent1 30" xfId="1394"/>
    <cellStyle name="20% - Accent1 31" xfId="1413"/>
    <cellStyle name="20% - Accent1 32" xfId="1431"/>
    <cellStyle name="20% - Accent1 33" xfId="1448"/>
    <cellStyle name="20% - Accent1 34" xfId="1465"/>
    <cellStyle name="20% - Accent1 35" xfId="1482"/>
    <cellStyle name="20% - Accent1 36" xfId="1498"/>
    <cellStyle name="20% - Accent1 37" xfId="1512"/>
    <cellStyle name="20% - Accent1 38" xfId="1527"/>
    <cellStyle name="20% - Accent1 39" xfId="1542"/>
    <cellStyle name="20% - Accent1 4" xfId="939"/>
    <cellStyle name="20% - Accent1 40" xfId="1559"/>
    <cellStyle name="20% - Accent1 41" xfId="1575"/>
    <cellStyle name="20% - Accent1 42" xfId="1599"/>
    <cellStyle name="20% - Accent1 43" xfId="1609"/>
    <cellStyle name="20% - Accent1 44" xfId="1625"/>
    <cellStyle name="20% - Accent1 45" xfId="1641"/>
    <cellStyle name="20% - Accent1 46" xfId="1657"/>
    <cellStyle name="20% - Accent1 47" xfId="1673"/>
    <cellStyle name="20% - Accent1 48" xfId="1689"/>
    <cellStyle name="20% - Accent1 49" xfId="1705"/>
    <cellStyle name="20% - Accent1 5" xfId="957"/>
    <cellStyle name="20% - Accent1 50" xfId="1720"/>
    <cellStyle name="20% - Accent1 51" xfId="1735"/>
    <cellStyle name="20% - Accent1 52" xfId="1750"/>
    <cellStyle name="20% - Accent1 53" xfId="1765"/>
    <cellStyle name="20% - Accent1 54" xfId="1780"/>
    <cellStyle name="20% - Accent1 55" xfId="1795"/>
    <cellStyle name="20% - Accent1 56" xfId="1810"/>
    <cellStyle name="20% - Accent1 57" xfId="1825"/>
    <cellStyle name="20% - Accent1 58" xfId="1840"/>
    <cellStyle name="20% - Accent1 59" xfId="1855"/>
    <cellStyle name="20% - Accent1 6" xfId="976"/>
    <cellStyle name="20% - Accent1 60" xfId="1870"/>
    <cellStyle name="20% - Accent1 61" xfId="1885"/>
    <cellStyle name="20% - Accent1 62" xfId="1898"/>
    <cellStyle name="20% - Accent1 63" xfId="1911"/>
    <cellStyle name="20% - Accent1 64" xfId="1924"/>
    <cellStyle name="20% - Accent1 65" xfId="1936"/>
    <cellStyle name="20% - Accent1 66" xfId="1948"/>
    <cellStyle name="20% - Accent1 67" xfId="1960"/>
    <cellStyle name="20% - Accent1 68" xfId="1972"/>
    <cellStyle name="20% - Accent1 69" xfId="1984"/>
    <cellStyle name="20% - Accent1 7" xfId="995"/>
    <cellStyle name="20% - Accent1 70" xfId="1996"/>
    <cellStyle name="20% - Accent1 71" xfId="2008"/>
    <cellStyle name="20% - Accent1 72" xfId="2020"/>
    <cellStyle name="20% - Accent1 73" xfId="2032"/>
    <cellStyle name="20% - Accent1 74" xfId="2044"/>
    <cellStyle name="20% - Accent1 75" xfId="2056"/>
    <cellStyle name="20% - Accent1 76" xfId="2068"/>
    <cellStyle name="20% - Accent1 77" xfId="2080"/>
    <cellStyle name="20% - Accent1 78" xfId="2091"/>
    <cellStyle name="20% - Accent1 79" xfId="2101"/>
    <cellStyle name="20% - Accent1 8" xfId="1011"/>
    <cellStyle name="20% - Accent1 80" xfId="2111"/>
    <cellStyle name="20% - Accent1 81" xfId="2121"/>
    <cellStyle name="20% - Accent1 82" xfId="2129"/>
    <cellStyle name="20% - Accent1 83" xfId="2136"/>
    <cellStyle name="20% - Accent1 84" xfId="2143"/>
    <cellStyle name="20% - Accent1 85" xfId="2150"/>
    <cellStyle name="20% - Accent1 86" xfId="2157"/>
    <cellStyle name="20% - Accent1 87" xfId="2163"/>
    <cellStyle name="20% - Accent1 88" xfId="2168"/>
    <cellStyle name="20% - Accent1 89" xfId="2173"/>
    <cellStyle name="20% - Accent1 9" xfId="1029"/>
    <cellStyle name="20% - Accent1 90" xfId="2178"/>
    <cellStyle name="20% - Accent2" xfId="23" builtinId="34" customBuiltin="1"/>
    <cellStyle name="20% - Accent2 10" xfId="1057"/>
    <cellStyle name="20% - Accent2 11" xfId="1075"/>
    <cellStyle name="20% - Accent2 12" xfId="1093"/>
    <cellStyle name="20% - Accent2 13" xfId="1109"/>
    <cellStyle name="20% - Accent2 14" xfId="1126"/>
    <cellStyle name="20% - Accent2 15" xfId="1143"/>
    <cellStyle name="20% - Accent2 16" xfId="1162"/>
    <cellStyle name="20% - Accent2 17" xfId="1179"/>
    <cellStyle name="20% - Accent2 18" xfId="1196"/>
    <cellStyle name="20% - Accent2 19" xfId="1210"/>
    <cellStyle name="20% - Accent2 2" xfId="512"/>
    <cellStyle name="20% - Accent2 20" xfId="678"/>
    <cellStyle name="20% - Accent2 21" xfId="1247"/>
    <cellStyle name="20% - Accent2 22" xfId="1263"/>
    <cellStyle name="20% - Accent2 23" xfId="1282"/>
    <cellStyle name="20% - Accent2 24" xfId="1300"/>
    <cellStyle name="20% - Accent2 25" xfId="1319"/>
    <cellStyle name="20% - Accent2 26" xfId="1337"/>
    <cellStyle name="20% - Accent2 27" xfId="1354"/>
    <cellStyle name="20% - Accent2 28" xfId="1372"/>
    <cellStyle name="20% - Accent2 29" xfId="1388"/>
    <cellStyle name="20% - Accent2 3" xfId="931"/>
    <cellStyle name="20% - Accent2 30" xfId="1405"/>
    <cellStyle name="20% - Accent2 31" xfId="1423"/>
    <cellStyle name="20% - Accent2 32" xfId="1441"/>
    <cellStyle name="20% - Accent2 33" xfId="1458"/>
    <cellStyle name="20% - Accent2 34" xfId="1476"/>
    <cellStyle name="20% - Accent2 35" xfId="1492"/>
    <cellStyle name="20% - Accent2 36" xfId="1506"/>
    <cellStyle name="20% - Accent2 37" xfId="1521"/>
    <cellStyle name="20% - Accent2 38" xfId="1536"/>
    <cellStyle name="20% - Accent2 39" xfId="1552"/>
    <cellStyle name="20% - Accent2 4" xfId="950"/>
    <cellStyle name="20% - Accent2 40" xfId="1567"/>
    <cellStyle name="20% - Accent2 41" xfId="1583"/>
    <cellStyle name="20% - Accent2 42" xfId="1513"/>
    <cellStyle name="20% - Accent2 43" xfId="1617"/>
    <cellStyle name="20% - Accent2 44" xfId="1633"/>
    <cellStyle name="20% - Accent2 45" xfId="1649"/>
    <cellStyle name="20% - Accent2 46" xfId="1665"/>
    <cellStyle name="20% - Accent2 47" xfId="1681"/>
    <cellStyle name="20% - Accent2 48" xfId="1697"/>
    <cellStyle name="20% - Accent2 49" xfId="1713"/>
    <cellStyle name="20% - Accent2 5" xfId="968"/>
    <cellStyle name="20% - Accent2 50" xfId="1728"/>
    <cellStyle name="20% - Accent2 51" xfId="1743"/>
    <cellStyle name="20% - Accent2 52" xfId="1758"/>
    <cellStyle name="20% - Accent2 53" xfId="1773"/>
    <cellStyle name="20% - Accent2 54" xfId="1788"/>
    <cellStyle name="20% - Accent2 55" xfId="1803"/>
    <cellStyle name="20% - Accent2 56" xfId="1818"/>
    <cellStyle name="20% - Accent2 57" xfId="1833"/>
    <cellStyle name="20% - Accent2 58" xfId="1848"/>
    <cellStyle name="20% - Accent2 59" xfId="1863"/>
    <cellStyle name="20% - Accent2 6" xfId="987"/>
    <cellStyle name="20% - Accent2 60" xfId="1878"/>
    <cellStyle name="20% - Accent2 61" xfId="1891"/>
    <cellStyle name="20% - Accent2 62" xfId="1904"/>
    <cellStyle name="20% - Accent2 63" xfId="1917"/>
    <cellStyle name="20% - Accent2 64" xfId="1930"/>
    <cellStyle name="20% - Accent2 65" xfId="1942"/>
    <cellStyle name="20% - Accent2 66" xfId="1954"/>
    <cellStyle name="20% - Accent2 67" xfId="1966"/>
    <cellStyle name="20% - Accent2 68" xfId="1978"/>
    <cellStyle name="20% - Accent2 69" xfId="1990"/>
    <cellStyle name="20% - Accent2 7" xfId="1004"/>
    <cellStyle name="20% - Accent2 70" xfId="2002"/>
    <cellStyle name="20% - Accent2 71" xfId="2014"/>
    <cellStyle name="20% - Accent2 72" xfId="2026"/>
    <cellStyle name="20% - Accent2 73" xfId="2038"/>
    <cellStyle name="20% - Accent2 74" xfId="2050"/>
    <cellStyle name="20% - Accent2 75" xfId="2062"/>
    <cellStyle name="20% - Accent2 76" xfId="2074"/>
    <cellStyle name="20% - Accent2 77" xfId="2086"/>
    <cellStyle name="20% - Accent2 78" xfId="2097"/>
    <cellStyle name="20% - Accent2 79" xfId="2107"/>
    <cellStyle name="20% - Accent2 8" xfId="1022"/>
    <cellStyle name="20% - Accent2 80" xfId="2117"/>
    <cellStyle name="20% - Accent2 81" xfId="2125"/>
    <cellStyle name="20% - Accent2 82" xfId="2132"/>
    <cellStyle name="20% - Accent2 83" xfId="2139"/>
    <cellStyle name="20% - Accent2 84" xfId="2146"/>
    <cellStyle name="20% - Accent2 85" xfId="2153"/>
    <cellStyle name="20% - Accent2 86" xfId="2160"/>
    <cellStyle name="20% - Accent2 87" xfId="2165"/>
    <cellStyle name="20% - Accent2 88" xfId="2170"/>
    <cellStyle name="20% - Accent2 89" xfId="2175"/>
    <cellStyle name="20% - Accent2 9" xfId="1039"/>
    <cellStyle name="20% - Accent2 90" xfId="2180"/>
    <cellStyle name="20% - Accent3" xfId="27" builtinId="38" customBuiltin="1"/>
    <cellStyle name="20% - Accent3 10" xfId="694"/>
    <cellStyle name="20% - Accent3 11" xfId="781"/>
    <cellStyle name="20% - Accent3 12" xfId="779"/>
    <cellStyle name="20% - Accent3 13" xfId="815"/>
    <cellStyle name="20% - Accent3 14" xfId="883"/>
    <cellStyle name="20% - Accent3 15" xfId="645"/>
    <cellStyle name="20% - Accent3 16" xfId="675"/>
    <cellStyle name="20% - Accent3 17" xfId="582"/>
    <cellStyle name="20% - Accent3 18" xfId="706"/>
    <cellStyle name="20% - Accent3 19" xfId="607"/>
    <cellStyle name="20% - Accent3 2" xfId="515"/>
    <cellStyle name="20% - Accent3 20" xfId="1067"/>
    <cellStyle name="20% - Accent3 21" xfId="1008"/>
    <cellStyle name="20% - Accent3 22" xfId="1200"/>
    <cellStyle name="20% - Accent3 23" xfId="528"/>
    <cellStyle name="20% - Accent3 24" xfId="1012"/>
    <cellStyle name="20% - Accent3 25" xfId="1183"/>
    <cellStyle name="20% - Accent3 26" xfId="646"/>
    <cellStyle name="20% - Accent3 27" xfId="789"/>
    <cellStyle name="20% - Accent3 28" xfId="853"/>
    <cellStyle name="20% - Accent3 29" xfId="1149"/>
    <cellStyle name="20% - Accent3 3" xfId="563"/>
    <cellStyle name="20% - Accent3 30" xfId="775"/>
    <cellStyle name="20% - Accent3 31" xfId="577"/>
    <cellStyle name="20% - Accent3 32" xfId="1216"/>
    <cellStyle name="20% - Accent3 33" xfId="505"/>
    <cellStyle name="20% - Accent3 34" xfId="1177"/>
    <cellStyle name="20% - Accent3 35" xfId="1141"/>
    <cellStyle name="20% - Accent3 36" xfId="1097"/>
    <cellStyle name="20% - Accent3 37" xfId="1191"/>
    <cellStyle name="20% - Accent3 38" xfId="817"/>
    <cellStyle name="20% - Accent3 39" xfId="825"/>
    <cellStyle name="20% - Accent3 4" xfId="764"/>
    <cellStyle name="20% - Accent3 40" xfId="887"/>
    <cellStyle name="20% - Accent3 41" xfId="514"/>
    <cellStyle name="20% - Accent3 42" xfId="819"/>
    <cellStyle name="20% - Accent3 43" xfId="1258"/>
    <cellStyle name="20% - Accent3 44" xfId="710"/>
    <cellStyle name="20% - Accent3 45" xfId="1314"/>
    <cellStyle name="20% - Accent3 46" xfId="1445"/>
    <cellStyle name="20% - Accent3 47" xfId="869"/>
    <cellStyle name="20% - Accent3 48" xfId="1104"/>
    <cellStyle name="20% - Accent3 49" xfId="1270"/>
    <cellStyle name="20% - Accent3 5" xfId="616"/>
    <cellStyle name="20% - Accent3 50" xfId="1253"/>
    <cellStyle name="20% - Accent3 51" xfId="758"/>
    <cellStyle name="20% - Accent3 52" xfId="501"/>
    <cellStyle name="20% - Accent3 53" xfId="571"/>
    <cellStyle name="20% - Accent3 54" xfId="1418"/>
    <cellStyle name="20% - Accent3 55" xfId="1557"/>
    <cellStyle name="20% - Accent3 56" xfId="886"/>
    <cellStyle name="20% - Accent3 57" xfId="1548"/>
    <cellStyle name="20% - Accent3 58" xfId="1561"/>
    <cellStyle name="20% - Accent3 59" xfId="1298"/>
    <cellStyle name="20% - Accent3 6" xfId="588"/>
    <cellStyle name="20% - Accent3 60" xfId="1117"/>
    <cellStyle name="20% - Accent3 61" xfId="732"/>
    <cellStyle name="20% - Accent3 62" xfId="1199"/>
    <cellStyle name="20% - Accent3 63" xfId="787"/>
    <cellStyle name="20% - Accent3 64" xfId="797"/>
    <cellStyle name="20% - Accent3 65" xfId="1203"/>
    <cellStyle name="20% - Accent3 66" xfId="845"/>
    <cellStyle name="20% - Accent3 67" xfId="744"/>
    <cellStyle name="20% - Accent3 68" xfId="544"/>
    <cellStyle name="20% - Accent3 69" xfId="1412"/>
    <cellStyle name="20% - Accent3 7" xfId="627"/>
    <cellStyle name="20% - Accent3 70" xfId="803"/>
    <cellStyle name="20% - Accent3 71" xfId="892"/>
    <cellStyle name="20% - Accent3 72" xfId="956"/>
    <cellStyle name="20% - Accent3 73" xfId="1503"/>
    <cellStyle name="20% - Accent3 74" xfId="566"/>
    <cellStyle name="20% - Accent3 75" xfId="1027"/>
    <cellStyle name="20% - Accent3 76" xfId="1030"/>
    <cellStyle name="20% - Accent3 77" xfId="1080"/>
    <cellStyle name="20% - Accent3 78" xfId="1546"/>
    <cellStyle name="20% - Accent3 79" xfId="1331"/>
    <cellStyle name="20% - Accent3 8" xfId="580"/>
    <cellStyle name="20% - Accent3 80" xfId="1233"/>
    <cellStyle name="20% - Accent3 81" xfId="1510"/>
    <cellStyle name="20% - Accent3 82" xfId="1189"/>
    <cellStyle name="20% - Accent3 83" xfId="1565"/>
    <cellStyle name="20% - Accent3 84" xfId="1605"/>
    <cellStyle name="20% - Accent3 85" xfId="1621"/>
    <cellStyle name="20% - Accent3 86" xfId="1637"/>
    <cellStyle name="20% - Accent3 87" xfId="1653"/>
    <cellStyle name="20% - Accent3 88" xfId="1669"/>
    <cellStyle name="20% - Accent3 89" xfId="1685"/>
    <cellStyle name="20% - Accent3 9" xfId="727"/>
    <cellStyle name="20% - Accent3 90" xfId="1701"/>
    <cellStyle name="20% - Accent4" xfId="31" builtinId="42" customBuiltin="1"/>
    <cellStyle name="20% - Accent4 10" xfId="716"/>
    <cellStyle name="20% - Accent4 11" xfId="795"/>
    <cellStyle name="20% - Accent4 12" xfId="654"/>
    <cellStyle name="20% - Accent4 13" xfId="840"/>
    <cellStyle name="20% - Accent4 14" xfId="609"/>
    <cellStyle name="20% - Accent4 15" xfId="599"/>
    <cellStyle name="20% - Accent4 16" xfId="574"/>
    <cellStyle name="20% - Accent4 17" xfId="782"/>
    <cellStyle name="20% - Accent4 18" xfId="757"/>
    <cellStyle name="20% - Accent4 19" xfId="721"/>
    <cellStyle name="20% - Accent4 2" xfId="519"/>
    <cellStyle name="20% - Accent4 20" xfId="1153"/>
    <cellStyle name="20% - Accent4 21" xfId="715"/>
    <cellStyle name="20% - Accent4 22" xfId="1063"/>
    <cellStyle name="20% - Accent4 23" xfId="948"/>
    <cellStyle name="20% - Accent4 24" xfId="1122"/>
    <cellStyle name="20% - Accent4 25" xfId="980"/>
    <cellStyle name="20% - Accent4 26" xfId="540"/>
    <cellStyle name="20% - Accent4 27" xfId="850"/>
    <cellStyle name="20% - Accent4 28" xfId="1069"/>
    <cellStyle name="20% - Accent4 29" xfId="725"/>
    <cellStyle name="20% - Accent4 3" xfId="591"/>
    <cellStyle name="20% - Accent4 30" xfId="830"/>
    <cellStyle name="20% - Accent4 31" xfId="1201"/>
    <cellStyle name="20% - Accent4 32" xfId="614"/>
    <cellStyle name="20% - Accent4 33" xfId="592"/>
    <cellStyle name="20% - Accent4 34" xfId="784"/>
    <cellStyle name="20% - Accent4 35" xfId="904"/>
    <cellStyle name="20% - Accent4 36" xfId="909"/>
    <cellStyle name="20% - Accent4 37" xfId="703"/>
    <cellStyle name="20% - Accent4 38" xfId="561"/>
    <cellStyle name="20% - Accent4 39" xfId="919"/>
    <cellStyle name="20% - Accent4 4" xfId="677"/>
    <cellStyle name="20% - Accent4 40" xfId="1222"/>
    <cellStyle name="20% - Accent4 41" xfId="564"/>
    <cellStyle name="20% - Accent4 42" xfId="1034"/>
    <cellStyle name="20% - Accent4 43" xfId="1395"/>
    <cellStyle name="20% - Accent4 44" xfId="1564"/>
    <cellStyle name="20% - Accent4 45" xfId="996"/>
    <cellStyle name="20% - Accent4 46" xfId="1349"/>
    <cellStyle name="20% - Accent4 47" xfId="1358"/>
    <cellStyle name="20% - Accent4 48" xfId="761"/>
    <cellStyle name="20% - Accent4 49" xfId="1487"/>
    <cellStyle name="20% - Accent4 5" xfId="569"/>
    <cellStyle name="20% - Accent4 50" xfId="1309"/>
    <cellStyle name="20% - Accent4 51" xfId="1323"/>
    <cellStyle name="20% - Accent4 52" xfId="1175"/>
    <cellStyle name="20% - Accent4 53" xfId="1539"/>
    <cellStyle name="20% - Accent4 54" xfId="1496"/>
    <cellStyle name="20% - Accent4 55" xfId="1243"/>
    <cellStyle name="20% - Accent4 56" xfId="1485"/>
    <cellStyle name="20% - Accent4 57" xfId="552"/>
    <cellStyle name="20% - Accent4 58" xfId="1185"/>
    <cellStyle name="20% - Accent4 59" xfId="497"/>
    <cellStyle name="20% - Accent4 6" xfId="847"/>
    <cellStyle name="20% - Accent4 60" xfId="1571"/>
    <cellStyle name="20% - Accent4 61" xfId="671"/>
    <cellStyle name="20% - Accent4 62" xfId="1597"/>
    <cellStyle name="20% - Accent4 63" xfId="1035"/>
    <cellStyle name="20% - Accent4 64" xfId="1529"/>
    <cellStyle name="20% - Accent4 65" xfId="636"/>
    <cellStyle name="20% - Accent4 66" xfId="1152"/>
    <cellStyle name="20% - Accent4 67" xfId="1215"/>
    <cellStyle name="20% - Accent4 68" xfId="1186"/>
    <cellStyle name="20% - Accent4 69" xfId="1447"/>
    <cellStyle name="20% - Accent4 7" xfId="820"/>
    <cellStyle name="20% - Accent4 70" xfId="972"/>
    <cellStyle name="20% - Accent4 71" xfId="1603"/>
    <cellStyle name="20% - Accent4 72" xfId="1601"/>
    <cellStyle name="20% - Accent4 73" xfId="1615"/>
    <cellStyle name="20% - Accent4 74" xfId="1631"/>
    <cellStyle name="20% - Accent4 75" xfId="1647"/>
    <cellStyle name="20% - Accent4 76" xfId="1663"/>
    <cellStyle name="20% - Accent4 77" xfId="1679"/>
    <cellStyle name="20% - Accent4 78" xfId="1695"/>
    <cellStyle name="20% - Accent4 79" xfId="1711"/>
    <cellStyle name="20% - Accent4 8" xfId="768"/>
    <cellStyle name="20% - Accent4 80" xfId="1726"/>
    <cellStyle name="20% - Accent4 81" xfId="1741"/>
    <cellStyle name="20% - Accent4 82" xfId="1756"/>
    <cellStyle name="20% - Accent4 83" xfId="1771"/>
    <cellStyle name="20% - Accent4 84" xfId="1786"/>
    <cellStyle name="20% - Accent4 85" xfId="1801"/>
    <cellStyle name="20% - Accent4 86" xfId="1816"/>
    <cellStyle name="20% - Accent4 87" xfId="1831"/>
    <cellStyle name="20% - Accent4 88" xfId="1846"/>
    <cellStyle name="20% - Accent4 89" xfId="1861"/>
    <cellStyle name="20% - Accent4 9" xfId="875"/>
    <cellStyle name="20% - Accent4 90" xfId="1876"/>
    <cellStyle name="20% - Accent5" xfId="35" builtinId="46" customBuiltin="1"/>
    <cellStyle name="20% - Accent5 10" xfId="598"/>
    <cellStyle name="20% - Accent5 11" xfId="542"/>
    <cellStyle name="20% - Accent5 12" xfId="780"/>
    <cellStyle name="20% - Accent5 13" xfId="821"/>
    <cellStyle name="20% - Accent5 14" xfId="844"/>
    <cellStyle name="20% - Accent5 15" xfId="889"/>
    <cellStyle name="20% - Accent5 16" xfId="917"/>
    <cellStyle name="20% - Accent5 17" xfId="936"/>
    <cellStyle name="20% - Accent5 18" xfId="954"/>
    <cellStyle name="20% - Accent5 19" xfId="973"/>
    <cellStyle name="20% - Accent5 2" xfId="523"/>
    <cellStyle name="20% - Accent5 20" xfId="1053"/>
    <cellStyle name="20% - Accent5 21" xfId="801"/>
    <cellStyle name="20% - Accent5 22" xfId="596"/>
    <cellStyle name="20% - Accent5 23" xfId="620"/>
    <cellStyle name="20% - Accent5 24" xfId="790"/>
    <cellStyle name="20% - Accent5 25" xfId="1043"/>
    <cellStyle name="20% - Accent5 26" xfId="866"/>
    <cellStyle name="20% - Accent5 27" xfId="641"/>
    <cellStyle name="20% - Accent5 28" xfId="1158"/>
    <cellStyle name="20% - Accent5 29" xfId="622"/>
    <cellStyle name="20% - Accent5 3" xfId="568"/>
    <cellStyle name="20% - Accent5 30" xfId="676"/>
    <cellStyle name="20% - Accent5 31" xfId="712"/>
    <cellStyle name="20% - Accent5 32" xfId="963"/>
    <cellStyle name="20% - Accent5 33" xfId="772"/>
    <cellStyle name="20% - Accent5 34" xfId="1236"/>
    <cellStyle name="20% - Accent5 35" xfId="1251"/>
    <cellStyle name="20% - Accent5 36" xfId="1268"/>
    <cellStyle name="20% - Accent5 37" xfId="1287"/>
    <cellStyle name="20% - Accent5 38" xfId="1305"/>
    <cellStyle name="20% - Accent5 39" xfId="1324"/>
    <cellStyle name="20% - Accent5 4" xfId="570"/>
    <cellStyle name="20% - Accent5 40" xfId="1341"/>
    <cellStyle name="20% - Accent5 41" xfId="1359"/>
    <cellStyle name="20% - Accent5 42" xfId="1562"/>
    <cellStyle name="20% - Accent5 43" xfId="1410"/>
    <cellStyle name="20% - Accent5 44" xfId="1194"/>
    <cellStyle name="20% - Accent5 45" xfId="763"/>
    <cellStyle name="20% - Accent5 46" xfId="535"/>
    <cellStyle name="20% - Accent5 47" xfId="1472"/>
    <cellStyle name="20% - Accent5 48" xfId="1563"/>
    <cellStyle name="20% - Accent5 49" xfId="1528"/>
    <cellStyle name="20% - Accent5 5" xfId="767"/>
    <cellStyle name="20% - Accent5 50" xfId="1379"/>
    <cellStyle name="20% - Accent5 51" xfId="1417"/>
    <cellStyle name="20% - Accent5 52" xfId="1352"/>
    <cellStyle name="20% - Accent5 53" xfId="811"/>
    <cellStyle name="20% - Accent5 54" xfId="829"/>
    <cellStyle name="20% - Accent5 55" xfId="1586"/>
    <cellStyle name="20% - Accent5 56" xfId="1606"/>
    <cellStyle name="20% - Accent5 57" xfId="1622"/>
    <cellStyle name="20% - Accent5 58" xfId="1638"/>
    <cellStyle name="20% - Accent5 59" xfId="1654"/>
    <cellStyle name="20% - Accent5 6" xfId="879"/>
    <cellStyle name="20% - Accent5 60" xfId="1670"/>
    <cellStyle name="20% - Accent5 61" xfId="1686"/>
    <cellStyle name="20% - Accent5 62" xfId="1702"/>
    <cellStyle name="20% - Accent5 63" xfId="1717"/>
    <cellStyle name="20% - Accent5 64" xfId="1732"/>
    <cellStyle name="20% - Accent5 65" xfId="1747"/>
    <cellStyle name="20% - Accent5 66" xfId="1762"/>
    <cellStyle name="20% - Accent5 67" xfId="1777"/>
    <cellStyle name="20% - Accent5 68" xfId="1792"/>
    <cellStyle name="20% - Accent5 69" xfId="1807"/>
    <cellStyle name="20% - Accent5 7" xfId="667"/>
    <cellStyle name="20% - Accent5 70" xfId="1822"/>
    <cellStyle name="20% - Accent5 71" xfId="1837"/>
    <cellStyle name="20% - Accent5 72" xfId="1852"/>
    <cellStyle name="20% - Accent5 73" xfId="1867"/>
    <cellStyle name="20% - Accent5 74" xfId="1882"/>
    <cellStyle name="20% - Accent5 75" xfId="1895"/>
    <cellStyle name="20% - Accent5 76" xfId="1908"/>
    <cellStyle name="20% - Accent5 77" xfId="1921"/>
    <cellStyle name="20% - Accent5 78" xfId="1934"/>
    <cellStyle name="20% - Accent5 79" xfId="1946"/>
    <cellStyle name="20% - Accent5 8" xfId="610"/>
    <cellStyle name="20% - Accent5 80" xfId="1958"/>
    <cellStyle name="20% - Accent5 81" xfId="1970"/>
    <cellStyle name="20% - Accent5 82" xfId="1982"/>
    <cellStyle name="20% - Accent5 83" xfId="1994"/>
    <cellStyle name="20% - Accent5 84" xfId="2006"/>
    <cellStyle name="20% - Accent5 85" xfId="2018"/>
    <cellStyle name="20% - Accent5 86" xfId="2030"/>
    <cellStyle name="20% - Accent5 87" xfId="2042"/>
    <cellStyle name="20% - Accent5 88" xfId="2054"/>
    <cellStyle name="20% - Accent5 89" xfId="2066"/>
    <cellStyle name="20% - Accent5 9" xfId="611"/>
    <cellStyle name="20% - Accent5 90" xfId="2078"/>
    <cellStyle name="20% - Accent6" xfId="39" builtinId="50" customBuiltin="1"/>
    <cellStyle name="20% - Accent6 10" xfId="786"/>
    <cellStyle name="20% - Accent6 11" xfId="550"/>
    <cellStyle name="20% - Accent6 12" xfId="647"/>
    <cellStyle name="20% - Accent6 13" xfId="651"/>
    <cellStyle name="20% - Accent6 14" xfId="888"/>
    <cellStyle name="20% - Accent6 15" xfId="918"/>
    <cellStyle name="20% - Accent6 16" xfId="937"/>
    <cellStyle name="20% - Accent6 17" xfId="955"/>
    <cellStyle name="20% - Accent6 18" xfId="974"/>
    <cellStyle name="20% - Accent6 19" xfId="993"/>
    <cellStyle name="20% - Accent6 2" xfId="526"/>
    <cellStyle name="20% - Accent6 20" xfId="714"/>
    <cellStyle name="20% - Accent6 21" xfId="743"/>
    <cellStyle name="20% - Accent6 22" xfId="1115"/>
    <cellStyle name="20% - Accent6 23" xfId="653"/>
    <cellStyle name="20% - Accent6 24" xfId="541"/>
    <cellStyle name="20% - Accent6 25" xfId="639"/>
    <cellStyle name="20% - Accent6 26" xfId="1217"/>
    <cellStyle name="20% - Accent6 27" xfId="518"/>
    <cellStyle name="20% - Accent6 28" xfId="832"/>
    <cellStyle name="20% - Accent6 29" xfId="724"/>
    <cellStyle name="20% - Accent6 3" xfId="878"/>
    <cellStyle name="20% - Accent6 30" xfId="1139"/>
    <cellStyle name="20% - Accent6 31" xfId="499"/>
    <cellStyle name="20% - Accent6 32" xfId="1100"/>
    <cellStyle name="20% - Accent6 33" xfId="1237"/>
    <cellStyle name="20% - Accent6 34" xfId="1252"/>
    <cellStyle name="20% - Accent6 35" xfId="1269"/>
    <cellStyle name="20% - Accent6 36" xfId="1288"/>
    <cellStyle name="20% - Accent6 37" xfId="1306"/>
    <cellStyle name="20% - Accent6 38" xfId="1325"/>
    <cellStyle name="20% - Accent6 39" xfId="1342"/>
    <cellStyle name="20% - Accent6 4" xfId="687"/>
    <cellStyle name="20% - Accent6 40" xfId="1360"/>
    <cellStyle name="20% - Accent6 41" xfId="1376"/>
    <cellStyle name="20% - Accent6 42" xfId="1146"/>
    <cellStyle name="20% - Accent6 43" xfId="565"/>
    <cellStyle name="20% - Accent6 44" xfId="1113"/>
    <cellStyle name="20% - Accent6 45" xfId="1272"/>
    <cellStyle name="20% - Accent6 46" xfId="557"/>
    <cellStyle name="20% - Accent6 47" xfId="798"/>
    <cellStyle name="20% - Accent6 48" xfId="813"/>
    <cellStyle name="20% - Accent6 49" xfId="977"/>
    <cellStyle name="20% - Accent6 5" xfId="848"/>
    <cellStyle name="20% - Accent6 50" xfId="1517"/>
    <cellStyle name="20% - Accent6 51" xfId="981"/>
    <cellStyle name="20% - Accent6 52" xfId="733"/>
    <cellStyle name="20% - Accent6 53" xfId="1481"/>
    <cellStyle name="20% - Accent6 54" xfId="1587"/>
    <cellStyle name="20% - Accent6 55" xfId="1607"/>
    <cellStyle name="20% - Accent6 56" xfId="1623"/>
    <cellStyle name="20% - Accent6 57" xfId="1639"/>
    <cellStyle name="20% - Accent6 58" xfId="1655"/>
    <cellStyle name="20% - Accent6 59" xfId="1671"/>
    <cellStyle name="20% - Accent6 6" xfId="788"/>
    <cellStyle name="20% - Accent6 60" xfId="1687"/>
    <cellStyle name="20% - Accent6 61" xfId="1703"/>
    <cellStyle name="20% - Accent6 62" xfId="1718"/>
    <cellStyle name="20% - Accent6 63" xfId="1733"/>
    <cellStyle name="20% - Accent6 64" xfId="1748"/>
    <cellStyle name="20% - Accent6 65" xfId="1763"/>
    <cellStyle name="20% - Accent6 66" xfId="1778"/>
    <cellStyle name="20% - Accent6 67" xfId="1793"/>
    <cellStyle name="20% - Accent6 68" xfId="1808"/>
    <cellStyle name="20% - Accent6 69" xfId="1823"/>
    <cellStyle name="20% - Accent6 7" xfId="711"/>
    <cellStyle name="20% - Accent6 70" xfId="1838"/>
    <cellStyle name="20% - Accent6 71" xfId="1853"/>
    <cellStyle name="20% - Accent6 72" xfId="1868"/>
    <cellStyle name="20% - Accent6 73" xfId="1883"/>
    <cellStyle name="20% - Accent6 74" xfId="1896"/>
    <cellStyle name="20% - Accent6 75" xfId="1909"/>
    <cellStyle name="20% - Accent6 76" xfId="1922"/>
    <cellStyle name="20% - Accent6 77" xfId="1935"/>
    <cellStyle name="20% - Accent6 78" xfId="1947"/>
    <cellStyle name="20% - Accent6 79" xfId="1959"/>
    <cellStyle name="20% - Accent6 8" xfId="882"/>
    <cellStyle name="20% - Accent6 80" xfId="1971"/>
    <cellStyle name="20% - Accent6 81" xfId="1983"/>
    <cellStyle name="20% - Accent6 82" xfId="1995"/>
    <cellStyle name="20% - Accent6 83" xfId="2007"/>
    <cellStyle name="20% - Accent6 84" xfId="2019"/>
    <cellStyle name="20% - Accent6 85" xfId="2031"/>
    <cellStyle name="20% - Accent6 86" xfId="2043"/>
    <cellStyle name="20% - Accent6 87" xfId="2055"/>
    <cellStyle name="20% - Accent6 88" xfId="2067"/>
    <cellStyle name="20% - Accent6 89" xfId="2079"/>
    <cellStyle name="20% - Accent6 9" xfId="633"/>
    <cellStyle name="20% - Accent6 90" xfId="2090"/>
    <cellStyle name="40% - Accent1" xfId="20" builtinId="31" customBuiltin="1"/>
    <cellStyle name="40% - Accent1 10" xfId="1058"/>
    <cellStyle name="40% - Accent1 11" xfId="1076"/>
    <cellStyle name="40% - Accent1 12" xfId="1094"/>
    <cellStyle name="40% - Accent1 13" xfId="1110"/>
    <cellStyle name="40% - Accent1 14" xfId="1127"/>
    <cellStyle name="40% - Accent1 15" xfId="1144"/>
    <cellStyle name="40% - Accent1 16" xfId="1163"/>
    <cellStyle name="40% - Accent1 17" xfId="1180"/>
    <cellStyle name="40% - Accent1 18" xfId="1197"/>
    <cellStyle name="40% - Accent1 19" xfId="1211"/>
    <cellStyle name="40% - Accent1 2" xfId="510"/>
    <cellStyle name="40% - Accent1 20" xfId="1135"/>
    <cellStyle name="40% - Accent1 21" xfId="1248"/>
    <cellStyle name="40% - Accent1 22" xfId="1264"/>
    <cellStyle name="40% - Accent1 23" xfId="1283"/>
    <cellStyle name="40% - Accent1 24" xfId="1301"/>
    <cellStyle name="40% - Accent1 25" xfId="1320"/>
    <cellStyle name="40% - Accent1 26" xfId="1338"/>
    <cellStyle name="40% - Accent1 27" xfId="1355"/>
    <cellStyle name="40% - Accent1 28" xfId="1373"/>
    <cellStyle name="40% - Accent1 29" xfId="1389"/>
    <cellStyle name="40% - Accent1 3" xfId="932"/>
    <cellStyle name="40% - Accent1 30" xfId="1406"/>
    <cellStyle name="40% - Accent1 31" xfId="1424"/>
    <cellStyle name="40% - Accent1 32" xfId="1442"/>
    <cellStyle name="40% - Accent1 33" xfId="1459"/>
    <cellStyle name="40% - Accent1 34" xfId="1477"/>
    <cellStyle name="40% - Accent1 35" xfId="1493"/>
    <cellStyle name="40% - Accent1 36" xfId="1507"/>
    <cellStyle name="40% - Accent1 37" xfId="1522"/>
    <cellStyle name="40% - Accent1 38" xfId="1537"/>
    <cellStyle name="40% - Accent1 39" xfId="1553"/>
    <cellStyle name="40% - Accent1 4" xfId="951"/>
    <cellStyle name="40% - Accent1 40" xfId="1568"/>
    <cellStyle name="40% - Accent1 41" xfId="1584"/>
    <cellStyle name="40% - Accent1 42" xfId="1361"/>
    <cellStyle name="40% - Accent1 43" xfId="1618"/>
    <cellStyle name="40% - Accent1 44" xfId="1634"/>
    <cellStyle name="40% - Accent1 45" xfId="1650"/>
    <cellStyle name="40% - Accent1 46" xfId="1666"/>
    <cellStyle name="40% - Accent1 47" xfId="1682"/>
    <cellStyle name="40% - Accent1 48" xfId="1698"/>
    <cellStyle name="40% - Accent1 49" xfId="1714"/>
    <cellStyle name="40% - Accent1 5" xfId="969"/>
    <cellStyle name="40% - Accent1 50" xfId="1729"/>
    <cellStyle name="40% - Accent1 51" xfId="1744"/>
    <cellStyle name="40% - Accent1 52" xfId="1759"/>
    <cellStyle name="40% - Accent1 53" xfId="1774"/>
    <cellStyle name="40% - Accent1 54" xfId="1789"/>
    <cellStyle name="40% - Accent1 55" xfId="1804"/>
    <cellStyle name="40% - Accent1 56" xfId="1819"/>
    <cellStyle name="40% - Accent1 57" xfId="1834"/>
    <cellStyle name="40% - Accent1 58" xfId="1849"/>
    <cellStyle name="40% - Accent1 59" xfId="1864"/>
    <cellStyle name="40% - Accent1 6" xfId="988"/>
    <cellStyle name="40% - Accent1 60" xfId="1879"/>
    <cellStyle name="40% - Accent1 61" xfId="1892"/>
    <cellStyle name="40% - Accent1 62" xfId="1905"/>
    <cellStyle name="40% - Accent1 63" xfId="1918"/>
    <cellStyle name="40% - Accent1 64" xfId="1931"/>
    <cellStyle name="40% - Accent1 65" xfId="1943"/>
    <cellStyle name="40% - Accent1 66" xfId="1955"/>
    <cellStyle name="40% - Accent1 67" xfId="1967"/>
    <cellStyle name="40% - Accent1 68" xfId="1979"/>
    <cellStyle name="40% - Accent1 69" xfId="1991"/>
    <cellStyle name="40% - Accent1 7" xfId="1005"/>
    <cellStyle name="40% - Accent1 70" xfId="2003"/>
    <cellStyle name="40% - Accent1 71" xfId="2015"/>
    <cellStyle name="40% - Accent1 72" xfId="2027"/>
    <cellStyle name="40% - Accent1 73" xfId="2039"/>
    <cellStyle name="40% - Accent1 74" xfId="2051"/>
    <cellStyle name="40% - Accent1 75" xfId="2063"/>
    <cellStyle name="40% - Accent1 76" xfId="2075"/>
    <cellStyle name="40% - Accent1 77" xfId="2087"/>
    <cellStyle name="40% - Accent1 78" xfId="2098"/>
    <cellStyle name="40% - Accent1 79" xfId="2108"/>
    <cellStyle name="40% - Accent1 8" xfId="1023"/>
    <cellStyle name="40% - Accent1 80" xfId="2118"/>
    <cellStyle name="40% - Accent1 81" xfId="2126"/>
    <cellStyle name="40% - Accent1 82" xfId="2133"/>
    <cellStyle name="40% - Accent1 83" xfId="2140"/>
    <cellStyle name="40% - Accent1 84" xfId="2147"/>
    <cellStyle name="40% - Accent1 85" xfId="2154"/>
    <cellStyle name="40% - Accent1 86" xfId="2161"/>
    <cellStyle name="40% - Accent1 87" xfId="2166"/>
    <cellStyle name="40% - Accent1 88" xfId="2171"/>
    <cellStyle name="40% - Accent1 89" xfId="2176"/>
    <cellStyle name="40% - Accent1 9" xfId="1040"/>
    <cellStyle name="40% - Accent1 90" xfId="2181"/>
    <cellStyle name="40% - Accent2" xfId="24" builtinId="35" customBuiltin="1"/>
    <cellStyle name="40% - Accent2 10" xfId="1056"/>
    <cellStyle name="40% - Accent2 11" xfId="1074"/>
    <cellStyle name="40% - Accent2 12" xfId="1092"/>
    <cellStyle name="40% - Accent2 13" xfId="1108"/>
    <cellStyle name="40% - Accent2 14" xfId="1125"/>
    <cellStyle name="40% - Accent2 15" xfId="1142"/>
    <cellStyle name="40% - Accent2 16" xfId="1161"/>
    <cellStyle name="40% - Accent2 17" xfId="1178"/>
    <cellStyle name="40% - Accent2 18" xfId="1195"/>
    <cellStyle name="40% - Accent2 19" xfId="1209"/>
    <cellStyle name="40% - Accent2 2" xfId="513"/>
    <cellStyle name="40% - Accent2 20" xfId="871"/>
    <cellStyle name="40% - Accent2 21" xfId="1246"/>
    <cellStyle name="40% - Accent2 22" xfId="1262"/>
    <cellStyle name="40% - Accent2 23" xfId="1281"/>
    <cellStyle name="40% - Accent2 24" xfId="1299"/>
    <cellStyle name="40% - Accent2 25" xfId="1318"/>
    <cellStyle name="40% - Accent2 26" xfId="1336"/>
    <cellStyle name="40% - Accent2 27" xfId="1353"/>
    <cellStyle name="40% - Accent2 28" xfId="1371"/>
    <cellStyle name="40% - Accent2 29" xfId="1387"/>
    <cellStyle name="40% - Accent2 3" xfId="930"/>
    <cellStyle name="40% - Accent2 30" xfId="1404"/>
    <cellStyle name="40% - Accent2 31" xfId="1422"/>
    <cellStyle name="40% - Accent2 32" xfId="1440"/>
    <cellStyle name="40% - Accent2 33" xfId="1457"/>
    <cellStyle name="40% - Accent2 34" xfId="1475"/>
    <cellStyle name="40% - Accent2 35" xfId="1491"/>
    <cellStyle name="40% - Accent2 36" xfId="1505"/>
    <cellStyle name="40% - Accent2 37" xfId="1520"/>
    <cellStyle name="40% - Accent2 38" xfId="1535"/>
    <cellStyle name="40% - Accent2 39" xfId="1551"/>
    <cellStyle name="40% - Accent2 4" xfId="949"/>
    <cellStyle name="40% - Accent2 40" xfId="1566"/>
    <cellStyle name="40% - Accent2 41" xfId="1582"/>
    <cellStyle name="40% - Accent2 42" xfId="652"/>
    <cellStyle name="40% - Accent2 43" xfId="1616"/>
    <cellStyle name="40% - Accent2 44" xfId="1632"/>
    <cellStyle name="40% - Accent2 45" xfId="1648"/>
    <cellStyle name="40% - Accent2 46" xfId="1664"/>
    <cellStyle name="40% - Accent2 47" xfId="1680"/>
    <cellStyle name="40% - Accent2 48" xfId="1696"/>
    <cellStyle name="40% - Accent2 49" xfId="1712"/>
    <cellStyle name="40% - Accent2 5" xfId="967"/>
    <cellStyle name="40% - Accent2 50" xfId="1727"/>
    <cellStyle name="40% - Accent2 51" xfId="1742"/>
    <cellStyle name="40% - Accent2 52" xfId="1757"/>
    <cellStyle name="40% - Accent2 53" xfId="1772"/>
    <cellStyle name="40% - Accent2 54" xfId="1787"/>
    <cellStyle name="40% - Accent2 55" xfId="1802"/>
    <cellStyle name="40% - Accent2 56" xfId="1817"/>
    <cellStyle name="40% - Accent2 57" xfId="1832"/>
    <cellStyle name="40% - Accent2 58" xfId="1847"/>
    <cellStyle name="40% - Accent2 59" xfId="1862"/>
    <cellStyle name="40% - Accent2 6" xfId="986"/>
    <cellStyle name="40% - Accent2 60" xfId="1877"/>
    <cellStyle name="40% - Accent2 61" xfId="1890"/>
    <cellStyle name="40% - Accent2 62" xfId="1903"/>
    <cellStyle name="40% - Accent2 63" xfId="1916"/>
    <cellStyle name="40% - Accent2 64" xfId="1929"/>
    <cellStyle name="40% - Accent2 65" xfId="1941"/>
    <cellStyle name="40% - Accent2 66" xfId="1953"/>
    <cellStyle name="40% - Accent2 67" xfId="1965"/>
    <cellStyle name="40% - Accent2 68" xfId="1977"/>
    <cellStyle name="40% - Accent2 69" xfId="1989"/>
    <cellStyle name="40% - Accent2 7" xfId="1003"/>
    <cellStyle name="40% - Accent2 70" xfId="2001"/>
    <cellStyle name="40% - Accent2 71" xfId="2013"/>
    <cellStyle name="40% - Accent2 72" xfId="2025"/>
    <cellStyle name="40% - Accent2 73" xfId="2037"/>
    <cellStyle name="40% - Accent2 74" xfId="2049"/>
    <cellStyle name="40% - Accent2 75" xfId="2061"/>
    <cellStyle name="40% - Accent2 76" xfId="2073"/>
    <cellStyle name="40% - Accent2 77" xfId="2085"/>
    <cellStyle name="40% - Accent2 78" xfId="2096"/>
    <cellStyle name="40% - Accent2 79" xfId="2106"/>
    <cellStyle name="40% - Accent2 8" xfId="1021"/>
    <cellStyle name="40% - Accent2 80" xfId="2116"/>
    <cellStyle name="40% - Accent2 81" xfId="2124"/>
    <cellStyle name="40% - Accent2 82" xfId="2131"/>
    <cellStyle name="40% - Accent2 83" xfId="2138"/>
    <cellStyle name="40% - Accent2 84" xfId="2145"/>
    <cellStyle name="40% - Accent2 85" xfId="2152"/>
    <cellStyle name="40% - Accent2 86" xfId="2159"/>
    <cellStyle name="40% - Accent2 87" xfId="2164"/>
    <cellStyle name="40% - Accent2 88" xfId="2169"/>
    <cellStyle name="40% - Accent2 89" xfId="2174"/>
    <cellStyle name="40% - Accent2 9" xfId="1038"/>
    <cellStyle name="40% - Accent2 90" xfId="2179"/>
    <cellStyle name="40% - Accent3" xfId="28" builtinId="39" customBuiltin="1"/>
    <cellStyle name="40% - Accent3 10" xfId="806"/>
    <cellStyle name="40% - Accent3 11" xfId="601"/>
    <cellStyle name="40% - Accent3 12" xfId="583"/>
    <cellStyle name="40% - Accent3 13" xfId="688"/>
    <cellStyle name="40% - Accent3 14" xfId="804"/>
    <cellStyle name="40% - Accent3 15" xfId="618"/>
    <cellStyle name="40% - Accent3 16" xfId="690"/>
    <cellStyle name="40% - Accent3 17" xfId="849"/>
    <cellStyle name="40% - Accent3 18" xfId="864"/>
    <cellStyle name="40% - Accent3 19" xfId="735"/>
    <cellStyle name="40% - Accent3 2" xfId="516"/>
    <cellStyle name="40% - Accent3 20" xfId="521"/>
    <cellStyle name="40% - Accent3 21" xfId="912"/>
    <cellStyle name="40% - Accent3 22" xfId="632"/>
    <cellStyle name="40% - Accent3 23" xfId="658"/>
    <cellStyle name="40% - Accent3 24" xfId="608"/>
    <cellStyle name="40% - Accent3 25" xfId="567"/>
    <cellStyle name="40% - Accent3 26" xfId="1072"/>
    <cellStyle name="40% - Accent3 27" xfId="793"/>
    <cellStyle name="40% - Accent3 28" xfId="822"/>
    <cellStyle name="40% - Accent3 29" xfId="1150"/>
    <cellStyle name="40% - Accent3 3" xfId="594"/>
    <cellStyle name="40% - Accent3 30" xfId="746"/>
    <cellStyle name="40% - Accent3 31" xfId="576"/>
    <cellStyle name="40% - Accent3 32" xfId="655"/>
    <cellStyle name="40% - Accent3 33" xfId="894"/>
    <cellStyle name="40% - Accent3 34" xfId="635"/>
    <cellStyle name="40% - Accent3 35" xfId="650"/>
    <cellStyle name="40% - Accent3 36" xfId="826"/>
    <cellStyle name="40% - Accent3 37" xfId="718"/>
    <cellStyle name="40% - Accent3 38" xfId="559"/>
    <cellStyle name="40% - Accent3 39" xfId="1214"/>
    <cellStyle name="40% - Accent3 4" xfId="625"/>
    <cellStyle name="40% - Accent3 40" xfId="1148"/>
    <cellStyle name="40% - Accent3 41" xfId="691"/>
    <cellStyle name="40% - Accent3 42" xfId="1382"/>
    <cellStyle name="40% - Accent3 43" xfId="753"/>
    <cellStyle name="40% - Accent3 44" xfId="749"/>
    <cellStyle name="40% - Accent3 45" xfId="1280"/>
    <cellStyle name="40% - Accent3 46" xfId="1449"/>
    <cellStyle name="40% - Accent3 47" xfId="1386"/>
    <cellStyle name="40% - Accent3 48" xfId="929"/>
    <cellStyle name="40% - Accent3 49" xfId="1540"/>
    <cellStyle name="40% - Accent3 5" xfId="838"/>
    <cellStyle name="40% - Accent3 50" xfId="1500"/>
    <cellStyle name="40% - Accent3 51" xfId="1533"/>
    <cellStyle name="40% - Accent3 52" xfId="579"/>
    <cellStyle name="40% - Accent3 53" xfId="818"/>
    <cellStyle name="40% - Accent3 54" xfId="1219"/>
    <cellStyle name="40% - Accent3 55" xfId="1398"/>
    <cellStyle name="40% - Accent3 56" xfId="756"/>
    <cellStyle name="40% - Accent3 57" xfId="1347"/>
    <cellStyle name="40% - Accent3 58" xfId="1232"/>
    <cellStyle name="40% - Accent3 59" xfId="1050"/>
    <cellStyle name="40% - Accent3 6" xfId="637"/>
    <cellStyle name="40% - Accent3 60" xfId="1550"/>
    <cellStyle name="40% - Accent3 61" xfId="1590"/>
    <cellStyle name="40% - Accent3 62" xfId="1230"/>
    <cellStyle name="40% - Accent3 63" xfId="1328"/>
    <cellStyle name="40% - Accent3 64" xfId="1261"/>
    <cellStyle name="40% - Accent3 65" xfId="1446"/>
    <cellStyle name="40% - Accent3 66" xfId="1452"/>
    <cellStyle name="40% - Accent3 67" xfId="770"/>
    <cellStyle name="40% - Accent3 68" xfId="1534"/>
    <cellStyle name="40% - Accent3 69" xfId="1313"/>
    <cellStyle name="40% - Accent3 7" xfId="719"/>
    <cellStyle name="40% - Accent3 70" xfId="1086"/>
    <cellStyle name="40% - Accent3 71" xfId="1543"/>
    <cellStyle name="40% - Accent3 72" xfId="1594"/>
    <cellStyle name="40% - Accent3 73" xfId="1612"/>
    <cellStyle name="40% - Accent3 74" xfId="1628"/>
    <cellStyle name="40% - Accent3 75" xfId="1644"/>
    <cellStyle name="40% - Accent3 76" xfId="1660"/>
    <cellStyle name="40% - Accent3 77" xfId="1676"/>
    <cellStyle name="40% - Accent3 78" xfId="1692"/>
    <cellStyle name="40% - Accent3 79" xfId="1708"/>
    <cellStyle name="40% - Accent3 8" xfId="859"/>
    <cellStyle name="40% - Accent3 80" xfId="1723"/>
    <cellStyle name="40% - Accent3 81" xfId="1738"/>
    <cellStyle name="40% - Accent3 82" xfId="1753"/>
    <cellStyle name="40% - Accent3 83" xfId="1768"/>
    <cellStyle name="40% - Accent3 84" xfId="1783"/>
    <cellStyle name="40% - Accent3 85" xfId="1798"/>
    <cellStyle name="40% - Accent3 86" xfId="1813"/>
    <cellStyle name="40% - Accent3 87" xfId="1828"/>
    <cellStyle name="40% - Accent3 88" xfId="1843"/>
    <cellStyle name="40% - Accent3 89" xfId="1858"/>
    <cellStyle name="40% - Accent3 9" xfId="778"/>
    <cellStyle name="40% - Accent3 90" xfId="1873"/>
    <cellStyle name="40% - Accent4" xfId="32" builtinId="43" customBuiltin="1"/>
    <cellStyle name="40% - Accent4 10" xfId="903"/>
    <cellStyle name="40% - Accent4 11" xfId="506"/>
    <cellStyle name="40% - Accent4 12" xfId="923"/>
    <cellStyle name="40% - Accent4 13" xfId="942"/>
    <cellStyle name="40% - Accent4 14" xfId="960"/>
    <cellStyle name="40% - Accent4 15" xfId="979"/>
    <cellStyle name="40% - Accent4 16" xfId="998"/>
    <cellStyle name="40% - Accent4 17" xfId="1014"/>
    <cellStyle name="40% - Accent4 18" xfId="1032"/>
    <cellStyle name="40% - Accent4 19" xfId="1049"/>
    <cellStyle name="40% - Accent4 2" xfId="520"/>
    <cellStyle name="40% - Accent4 20" xfId="1190"/>
    <cellStyle name="40% - Accent4 21" xfId="898"/>
    <cellStyle name="40% - Accent4 22" xfId="1121"/>
    <cellStyle name="40% - Accent4 23" xfId="1176"/>
    <cellStyle name="40% - Accent4 24" xfId="860"/>
    <cellStyle name="40% - Accent4 25" xfId="913"/>
    <cellStyle name="40% - Accent4 26" xfId="1174"/>
    <cellStyle name="40% - Accent4 27" xfId="664"/>
    <cellStyle name="40% - Accent4 28" xfId="1073"/>
    <cellStyle name="40% - Accent4 29" xfId="1226"/>
    <cellStyle name="40% - Accent4 3" xfId="586"/>
    <cellStyle name="40% - Accent4 30" xfId="1241"/>
    <cellStyle name="40% - Accent4 31" xfId="1257"/>
    <cellStyle name="40% - Accent4 32" xfId="1274"/>
    <cellStyle name="40% - Accent4 33" xfId="1292"/>
    <cellStyle name="40% - Accent4 34" xfId="1311"/>
    <cellStyle name="40% - Accent4 35" xfId="1330"/>
    <cellStyle name="40% - Accent4 36" xfId="1346"/>
    <cellStyle name="40% - Accent4 37" xfId="1365"/>
    <cellStyle name="40% - Accent4 38" xfId="1381"/>
    <cellStyle name="40% - Accent4 39" xfId="1397"/>
    <cellStyle name="40% - Accent4 4" xfId="661"/>
    <cellStyle name="40% - Accent4 40" xfId="1416"/>
    <cellStyle name="40% - Accent4 41" xfId="1434"/>
    <cellStyle name="40% - Accent4 42" xfId="1474"/>
    <cellStyle name="40% - Accent4 43" xfId="747"/>
    <cellStyle name="40% - Accent4 44" xfId="1061"/>
    <cellStyle name="40% - Accent4 45" xfId="1363"/>
    <cellStyle name="40% - Accent4 46" xfId="1255"/>
    <cellStyle name="40% - Accent4 47" xfId="1411"/>
    <cellStyle name="40% - Accent4 48" xfId="1090"/>
    <cellStyle name="40% - Accent4 49" xfId="1068"/>
    <cellStyle name="40% - Accent4 5" xfId="808"/>
    <cellStyle name="40% - Accent4 50" xfId="1579"/>
    <cellStyle name="40% - Accent4 51" xfId="1592"/>
    <cellStyle name="40% - Accent4 52" xfId="1611"/>
    <cellStyle name="40% - Accent4 53" xfId="1627"/>
    <cellStyle name="40% - Accent4 54" xfId="1643"/>
    <cellStyle name="40% - Accent4 55" xfId="1659"/>
    <cellStyle name="40% - Accent4 56" xfId="1675"/>
    <cellStyle name="40% - Accent4 57" xfId="1691"/>
    <cellStyle name="40% - Accent4 58" xfId="1707"/>
    <cellStyle name="40% - Accent4 59" xfId="1722"/>
    <cellStyle name="40% - Accent4 6" xfId="617"/>
    <cellStyle name="40% - Accent4 60" xfId="1737"/>
    <cellStyle name="40% - Accent4 61" xfId="1752"/>
    <cellStyle name="40% - Accent4 62" xfId="1767"/>
    <cellStyle name="40% - Accent4 63" xfId="1782"/>
    <cellStyle name="40% - Accent4 64" xfId="1797"/>
    <cellStyle name="40% - Accent4 65" xfId="1812"/>
    <cellStyle name="40% - Accent4 66" xfId="1827"/>
    <cellStyle name="40% - Accent4 67" xfId="1842"/>
    <cellStyle name="40% - Accent4 68" xfId="1857"/>
    <cellStyle name="40% - Accent4 69" xfId="1872"/>
    <cellStyle name="40% - Accent4 7" xfId="876"/>
    <cellStyle name="40% - Accent4 70" xfId="1887"/>
    <cellStyle name="40% - Accent4 71" xfId="1900"/>
    <cellStyle name="40% - Accent4 72" xfId="1913"/>
    <cellStyle name="40% - Accent4 73" xfId="1926"/>
    <cellStyle name="40% - Accent4 74" xfId="1938"/>
    <cellStyle name="40% - Accent4 75" xfId="1950"/>
    <cellStyle name="40% - Accent4 76" xfId="1962"/>
    <cellStyle name="40% - Accent4 77" xfId="1974"/>
    <cellStyle name="40% - Accent4 78" xfId="1986"/>
    <cellStyle name="40% - Accent4 79" xfId="1998"/>
    <cellStyle name="40% - Accent4 8" xfId="700"/>
    <cellStyle name="40% - Accent4 80" xfId="2010"/>
    <cellStyle name="40% - Accent4 81" xfId="2022"/>
    <cellStyle name="40% - Accent4 82" xfId="2034"/>
    <cellStyle name="40% - Accent4 83" xfId="2046"/>
    <cellStyle name="40% - Accent4 84" xfId="2058"/>
    <cellStyle name="40% - Accent4 85" xfId="2070"/>
    <cellStyle name="40% - Accent4 86" xfId="2082"/>
    <cellStyle name="40% - Accent4 87" xfId="2093"/>
    <cellStyle name="40% - Accent4 88" xfId="2103"/>
    <cellStyle name="40% - Accent4 89" xfId="2113"/>
    <cellStyle name="40% - Accent4 9" xfId="708"/>
    <cellStyle name="40% - Accent4 90" xfId="2123"/>
    <cellStyle name="40% - Accent5" xfId="36" builtinId="47" customBuiltin="1"/>
    <cellStyle name="40% - Accent5 10" xfId="978"/>
    <cellStyle name="40% - Accent5 11" xfId="997"/>
    <cellStyle name="40% - Accent5 12" xfId="1013"/>
    <cellStyle name="40% - Accent5 13" xfId="1031"/>
    <cellStyle name="40% - Accent5 14" xfId="1048"/>
    <cellStyle name="40% - Accent5 15" xfId="1066"/>
    <cellStyle name="40% - Accent5 16" xfId="1085"/>
    <cellStyle name="40% - Accent5 17" xfId="1101"/>
    <cellStyle name="40% - Accent5 18" xfId="1118"/>
    <cellStyle name="40% - Accent5 19" xfId="1136"/>
    <cellStyle name="40% - Accent5 2" xfId="524"/>
    <cellStyle name="40% - Accent5 20" xfId="802"/>
    <cellStyle name="40% - Accent5 21" xfId="800"/>
    <cellStyle name="40% - Accent5 22" xfId="626"/>
    <cellStyle name="40% - Accent5 23" xfId="938"/>
    <cellStyle name="40% - Accent5 24" xfId="975"/>
    <cellStyle name="40% - Accent5 25" xfId="1240"/>
    <cellStyle name="40% - Accent5 26" xfId="1256"/>
    <cellStyle name="40% - Accent5 27" xfId="1273"/>
    <cellStyle name="40% - Accent5 28" xfId="1291"/>
    <cellStyle name="40% - Accent5 29" xfId="1310"/>
    <cellStyle name="40% - Accent5 3" xfId="901"/>
    <cellStyle name="40% - Accent5 30" xfId="1329"/>
    <cellStyle name="40% - Accent5 31" xfId="1345"/>
    <cellStyle name="40% - Accent5 32" xfId="1364"/>
    <cellStyle name="40% - Accent5 33" xfId="1380"/>
    <cellStyle name="40% - Accent5 34" xfId="1396"/>
    <cellStyle name="40% - Accent5 35" xfId="1415"/>
    <cellStyle name="40% - Accent5 36" xfId="1433"/>
    <cellStyle name="40% - Accent5 37" xfId="1450"/>
    <cellStyle name="40% - Accent5 38" xfId="1467"/>
    <cellStyle name="40% - Accent5 39" xfId="1484"/>
    <cellStyle name="40% - Accent5 4" xfId="495"/>
    <cellStyle name="40% - Accent5 40" xfId="1499"/>
    <cellStyle name="40% - Accent5 41" xfId="1514"/>
    <cellStyle name="40% - Accent5 42" xfId="1570"/>
    <cellStyle name="40% - Accent5 43" xfId="1577"/>
    <cellStyle name="40% - Accent5 44" xfId="1171"/>
    <cellStyle name="40% - Accent5 45" xfId="1580"/>
    <cellStyle name="40% - Accent5 46" xfId="1591"/>
    <cellStyle name="40% - Accent5 47" xfId="1610"/>
    <cellStyle name="40% - Accent5 48" xfId="1626"/>
    <cellStyle name="40% - Accent5 49" xfId="1642"/>
    <cellStyle name="40% - Accent5 5" xfId="494"/>
    <cellStyle name="40% - Accent5 50" xfId="1658"/>
    <cellStyle name="40% - Accent5 51" xfId="1674"/>
    <cellStyle name="40% - Accent5 52" xfId="1690"/>
    <cellStyle name="40% - Accent5 53" xfId="1706"/>
    <cellStyle name="40% - Accent5 54" xfId="1721"/>
    <cellStyle name="40% - Accent5 55" xfId="1736"/>
    <cellStyle name="40% - Accent5 56" xfId="1751"/>
    <cellStyle name="40% - Accent5 57" xfId="1766"/>
    <cellStyle name="40% - Accent5 58" xfId="1781"/>
    <cellStyle name="40% - Accent5 59" xfId="1796"/>
    <cellStyle name="40% - Accent5 6" xfId="507"/>
    <cellStyle name="40% - Accent5 60" xfId="1811"/>
    <cellStyle name="40% - Accent5 61" xfId="1826"/>
    <cellStyle name="40% - Accent5 62" xfId="1841"/>
    <cellStyle name="40% - Accent5 63" xfId="1856"/>
    <cellStyle name="40% - Accent5 64" xfId="1871"/>
    <cellStyle name="40% - Accent5 65" xfId="1886"/>
    <cellStyle name="40% - Accent5 66" xfId="1899"/>
    <cellStyle name="40% - Accent5 67" xfId="1912"/>
    <cellStyle name="40% - Accent5 68" xfId="1925"/>
    <cellStyle name="40% - Accent5 69" xfId="1937"/>
    <cellStyle name="40% - Accent5 7" xfId="922"/>
    <cellStyle name="40% - Accent5 70" xfId="1949"/>
    <cellStyle name="40% - Accent5 71" xfId="1961"/>
    <cellStyle name="40% - Accent5 72" xfId="1973"/>
    <cellStyle name="40% - Accent5 73" xfId="1985"/>
    <cellStyle name="40% - Accent5 74" xfId="1997"/>
    <cellStyle name="40% - Accent5 75" xfId="2009"/>
    <cellStyle name="40% - Accent5 76" xfId="2021"/>
    <cellStyle name="40% - Accent5 77" xfId="2033"/>
    <cellStyle name="40% - Accent5 78" xfId="2045"/>
    <cellStyle name="40% - Accent5 79" xfId="2057"/>
    <cellStyle name="40% - Accent5 8" xfId="941"/>
    <cellStyle name="40% - Accent5 80" xfId="2069"/>
    <cellStyle name="40% - Accent5 81" xfId="2081"/>
    <cellStyle name="40% - Accent5 82" xfId="2092"/>
    <cellStyle name="40% - Accent5 83" xfId="2102"/>
    <cellStyle name="40% - Accent5 84" xfId="2112"/>
    <cellStyle name="40% - Accent5 85" xfId="2122"/>
    <cellStyle name="40% - Accent5 86" xfId="2130"/>
    <cellStyle name="40% - Accent5 87" xfId="2137"/>
    <cellStyle name="40% - Accent5 88" xfId="2144"/>
    <cellStyle name="40% - Accent5 89" xfId="2151"/>
    <cellStyle name="40% - Accent5 9" xfId="959"/>
    <cellStyle name="40% - Accent5 90" xfId="2158"/>
    <cellStyle name="40% - Accent6" xfId="40" builtinId="51" customBuiltin="1"/>
    <cellStyle name="40% - Accent6 10" xfId="679"/>
    <cellStyle name="40% - Accent6 11" xfId="905"/>
    <cellStyle name="40% - Accent6 12" xfId="503"/>
    <cellStyle name="40% - Accent6 13" xfId="927"/>
    <cellStyle name="40% - Accent6 14" xfId="946"/>
    <cellStyle name="40% - Accent6 15" xfId="964"/>
    <cellStyle name="40% - Accent6 16" xfId="983"/>
    <cellStyle name="40% - Accent6 17" xfId="1000"/>
    <cellStyle name="40% - Accent6 18" xfId="1018"/>
    <cellStyle name="40% - Accent6 19" xfId="1036"/>
    <cellStyle name="40% - Accent6 2" xfId="527"/>
    <cellStyle name="40% - Accent6 20" xfId="578"/>
    <cellStyle name="40% - Accent6 21" xfId="728"/>
    <cellStyle name="40% - Accent6 22" xfId="1123"/>
    <cellStyle name="40% - Accent6 23" xfId="796"/>
    <cellStyle name="40% - Accent6 24" xfId="623"/>
    <cellStyle name="40% - Accent6 25" xfId="1044"/>
    <cellStyle name="40% - Accent6 26" xfId="824"/>
    <cellStyle name="40% - Accent6 27" xfId="1016"/>
    <cellStyle name="40% - Accent6 28" xfId="547"/>
    <cellStyle name="40% - Accent6 29" xfId="585"/>
    <cellStyle name="40% - Accent6 3" xfId="870"/>
    <cellStyle name="40% - Accent6 30" xfId="1220"/>
    <cellStyle name="40% - Accent6 31" xfId="1244"/>
    <cellStyle name="40% - Accent6 32" xfId="1259"/>
    <cellStyle name="40% - Accent6 33" xfId="1278"/>
    <cellStyle name="40% - Accent6 34" xfId="1296"/>
    <cellStyle name="40% - Accent6 35" xfId="1315"/>
    <cellStyle name="40% - Accent6 36" xfId="1333"/>
    <cellStyle name="40% - Accent6 37" xfId="1350"/>
    <cellStyle name="40% - Accent6 38" xfId="1368"/>
    <cellStyle name="40% - Accent6 39" xfId="1384"/>
    <cellStyle name="40% - Accent6 4" xfId="669"/>
    <cellStyle name="40% - Accent6 40" xfId="1401"/>
    <cellStyle name="40% - Accent6 41" xfId="1419"/>
    <cellStyle name="40% - Accent6 42" xfId="1524"/>
    <cellStyle name="40% - Accent6 43" xfId="1464"/>
    <cellStyle name="40% - Accent6 44" xfId="1414"/>
    <cellStyle name="40% - Accent6 45" xfId="1486"/>
    <cellStyle name="40% - Accent6 46" xfId="916"/>
    <cellStyle name="40% - Accent6 47" xfId="1403"/>
    <cellStyle name="40% - Accent6 48" xfId="1469"/>
    <cellStyle name="40% - Accent6 49" xfId="1468"/>
    <cellStyle name="40% - Accent6 5" xfId="562"/>
    <cellStyle name="40% - Accent6 50" xfId="593"/>
    <cellStyle name="40% - Accent6 51" xfId="1555"/>
    <cellStyle name="40% - Accent6 52" xfId="1595"/>
    <cellStyle name="40% - Accent6 53" xfId="1613"/>
    <cellStyle name="40% - Accent6 54" xfId="1629"/>
    <cellStyle name="40% - Accent6 55" xfId="1645"/>
    <cellStyle name="40% - Accent6 56" xfId="1661"/>
    <cellStyle name="40% - Accent6 57" xfId="1677"/>
    <cellStyle name="40% - Accent6 58" xfId="1693"/>
    <cellStyle name="40% - Accent6 59" xfId="1709"/>
    <cellStyle name="40% - Accent6 6" xfId="851"/>
    <cellStyle name="40% - Accent6 60" xfId="1724"/>
    <cellStyle name="40% - Accent6 61" xfId="1739"/>
    <cellStyle name="40% - Accent6 62" xfId="1754"/>
    <cellStyle name="40% - Accent6 63" xfId="1769"/>
    <cellStyle name="40% - Accent6 64" xfId="1784"/>
    <cellStyle name="40% - Accent6 65" xfId="1799"/>
    <cellStyle name="40% - Accent6 66" xfId="1814"/>
    <cellStyle name="40% - Accent6 67" xfId="1829"/>
    <cellStyle name="40% - Accent6 68" xfId="1844"/>
    <cellStyle name="40% - Accent6 69" xfId="1859"/>
    <cellStyle name="40% - Accent6 7" xfId="765"/>
    <cellStyle name="40% - Accent6 70" xfId="1874"/>
    <cellStyle name="40% - Accent6 71" xfId="1888"/>
    <cellStyle name="40% - Accent6 72" xfId="1901"/>
    <cellStyle name="40% - Accent6 73" xfId="1914"/>
    <cellStyle name="40% - Accent6 74" xfId="1927"/>
    <cellStyle name="40% - Accent6 75" xfId="1939"/>
    <cellStyle name="40% - Accent6 76" xfId="1951"/>
    <cellStyle name="40% - Accent6 77" xfId="1963"/>
    <cellStyle name="40% - Accent6 78" xfId="1975"/>
    <cellStyle name="40% - Accent6 79" xfId="1987"/>
    <cellStyle name="40% - Accent6 8" xfId="603"/>
    <cellStyle name="40% - Accent6 80" xfId="1999"/>
    <cellStyle name="40% - Accent6 81" xfId="2011"/>
    <cellStyle name="40% - Accent6 82" xfId="2023"/>
    <cellStyle name="40% - Accent6 83" xfId="2035"/>
    <cellStyle name="40% - Accent6 84" xfId="2047"/>
    <cellStyle name="40% - Accent6 85" xfId="2059"/>
    <cellStyle name="40% - Accent6 86" xfId="2071"/>
    <cellStyle name="40% - Accent6 87" xfId="2083"/>
    <cellStyle name="40% - Accent6 88" xfId="2094"/>
    <cellStyle name="40% - Accent6 89" xfId="2104"/>
    <cellStyle name="40% - Accent6 9" xfId="584"/>
    <cellStyle name="40% - Accent6 90" xfId="2114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49"/>
    <cellStyle name="Normal 11" xfId="450"/>
    <cellStyle name="Normal 12" xfId="451"/>
    <cellStyle name="Normal 13" xfId="452"/>
    <cellStyle name="Normal 14" xfId="453"/>
    <cellStyle name="Normal 15" xfId="454"/>
    <cellStyle name="Normal 16" xfId="455"/>
    <cellStyle name="Normal 17" xfId="456"/>
    <cellStyle name="Normal 18" xfId="457"/>
    <cellStyle name="Normal 19" xfId="458"/>
    <cellStyle name="Normal 2" xfId="43"/>
    <cellStyle name="Normal 2 10" xfId="890"/>
    <cellStyle name="Normal 2 100" xfId="2228"/>
    <cellStyle name="Normal 2 101" xfId="481"/>
    <cellStyle name="Normal 2 102" xfId="2192"/>
    <cellStyle name="Normal 2 103" xfId="478"/>
    <cellStyle name="Normal 2 104" xfId="2191"/>
    <cellStyle name="Normal 2 11" xfId="915"/>
    <cellStyle name="Normal 2 12" xfId="934"/>
    <cellStyle name="Normal 2 13" xfId="953"/>
    <cellStyle name="Normal 2 14" xfId="971"/>
    <cellStyle name="Normal 2 15" xfId="990"/>
    <cellStyle name="Normal 2 16" xfId="1007"/>
    <cellStyle name="Normal 2 17" xfId="1025"/>
    <cellStyle name="Normal 2 18" xfId="1042"/>
    <cellStyle name="Normal 2 19" xfId="1060"/>
    <cellStyle name="Normal 2 2" xfId="45"/>
    <cellStyle name="Normal 2 2 10" xfId="2205"/>
    <cellStyle name="Normal 2 2 11" xfId="484"/>
    <cellStyle name="Normal 2 2 12" xfId="2219"/>
    <cellStyle name="Normal 2 2 13" xfId="2225"/>
    <cellStyle name="Normal 2 2 14" xfId="2188"/>
    <cellStyle name="Normal 2 2 15" xfId="2208"/>
    <cellStyle name="Normal 2 2 16" xfId="2200"/>
    <cellStyle name="Normal 2 2 2" xfId="46"/>
    <cellStyle name="Normal 2 2 2 10" xfId="149"/>
    <cellStyle name="Normal 2 2 2 11" xfId="159"/>
    <cellStyle name="Normal 2 2 2 12" xfId="147"/>
    <cellStyle name="Normal 2 2 2 13" xfId="141"/>
    <cellStyle name="Normal 2 2 2 14" xfId="146"/>
    <cellStyle name="Normal 2 2 2 15" xfId="183"/>
    <cellStyle name="Normal 2 2 2 16" xfId="205"/>
    <cellStyle name="Normal 2 2 2 17" xfId="182"/>
    <cellStyle name="Normal 2 2 2 18" xfId="219"/>
    <cellStyle name="Normal 2 2 2 19" xfId="236"/>
    <cellStyle name="Normal 2 2 2 2" xfId="49"/>
    <cellStyle name="Normal 2 2 2 2 10" xfId="145"/>
    <cellStyle name="Normal 2 2 2 2 11" xfId="169"/>
    <cellStyle name="Normal 2 2 2 2 12" xfId="179"/>
    <cellStyle name="Normal 2 2 2 2 13" xfId="185"/>
    <cellStyle name="Normal 2 2 2 2 14" xfId="200"/>
    <cellStyle name="Normal 2 2 2 2 15" xfId="201"/>
    <cellStyle name="Normal 2 2 2 2 16" xfId="221"/>
    <cellStyle name="Normal 2 2 2 2 17" xfId="235"/>
    <cellStyle name="Normal 2 2 2 2 18" xfId="261"/>
    <cellStyle name="Normal 2 2 2 2 19" xfId="256"/>
    <cellStyle name="Normal 2 2 2 2 2" xfId="57"/>
    <cellStyle name="Normal 2 2 2 2 20" xfId="228"/>
    <cellStyle name="Normal 2 2 2 2 21" xfId="238"/>
    <cellStyle name="Normal 2 2 2 2 22" xfId="272"/>
    <cellStyle name="Normal 2 2 2 2 23" xfId="278"/>
    <cellStyle name="Normal 2 2 2 2 24" xfId="304"/>
    <cellStyle name="Normal 2 2 2 2 25" xfId="359"/>
    <cellStyle name="Normal 2 2 2 2 26" xfId="311"/>
    <cellStyle name="Normal 2 2 2 2 27" xfId="344"/>
    <cellStyle name="Normal 2 2 2 2 28" xfId="339"/>
    <cellStyle name="Normal 2 2 2 2 29" xfId="370"/>
    <cellStyle name="Normal 2 2 2 2 3" xfId="75"/>
    <cellStyle name="Normal 2 2 2 2 30" xfId="326"/>
    <cellStyle name="Normal 2 2 2 2 31" xfId="287"/>
    <cellStyle name="Normal 2 2 2 2 32" xfId="353"/>
    <cellStyle name="Normal 2 2 2 2 33" xfId="393"/>
    <cellStyle name="Normal 2 2 2 2 34" xfId="396"/>
    <cellStyle name="Normal 2 2 2 2 35" xfId="315"/>
    <cellStyle name="Normal 2 2 2 2 36" xfId="348"/>
    <cellStyle name="Normal 2 2 2 2 37" xfId="403"/>
    <cellStyle name="Normal 2 2 2 2 38" xfId="413"/>
    <cellStyle name="Normal 2 2 2 2 39" xfId="421"/>
    <cellStyle name="Normal 2 2 2 2 4" xfId="74"/>
    <cellStyle name="Normal 2 2 2 2 40" xfId="441"/>
    <cellStyle name="Normal 2 2 2 2 41" xfId="442"/>
    <cellStyle name="Normal 2 2 2 2 42" xfId="2233"/>
    <cellStyle name="Normal 2 2 2 2 43" xfId="2246"/>
    <cellStyle name="Normal 2 2 2 2 5" xfId="114"/>
    <cellStyle name="Normal 2 2 2 2 6" xfId="121"/>
    <cellStyle name="Normal 2 2 2 2 7" xfId="131"/>
    <cellStyle name="Normal 2 2 2 2 8" xfId="151"/>
    <cellStyle name="Normal 2 2 2 2 9" xfId="165"/>
    <cellStyle name="Normal 2 2 2 20" xfId="246"/>
    <cellStyle name="Normal 2 2 2 21" xfId="267"/>
    <cellStyle name="Normal 2 2 2 22" xfId="215"/>
    <cellStyle name="Normal 2 2 2 23" xfId="260"/>
    <cellStyle name="Normal 2 2 2 24" xfId="269"/>
    <cellStyle name="Normal 2 2 2 25" xfId="276"/>
    <cellStyle name="Normal 2 2 2 26" xfId="302"/>
    <cellStyle name="Normal 2 2 2 27" xfId="324"/>
    <cellStyle name="Normal 2 2 2 28" xfId="352"/>
    <cellStyle name="Normal 2 2 2 29" xfId="387"/>
    <cellStyle name="Normal 2 2 2 3" xfId="56"/>
    <cellStyle name="Normal 2 2 2 30" xfId="296"/>
    <cellStyle name="Normal 2 2 2 31" xfId="285"/>
    <cellStyle name="Normal 2 2 2 32" xfId="318"/>
    <cellStyle name="Normal 2 2 2 33" xfId="328"/>
    <cellStyle name="Normal 2 2 2 34" xfId="330"/>
    <cellStyle name="Normal 2 2 2 35" xfId="374"/>
    <cellStyle name="Normal 2 2 2 36" xfId="293"/>
    <cellStyle name="Normal 2 2 2 37" xfId="295"/>
    <cellStyle name="Normal 2 2 2 38" xfId="391"/>
    <cellStyle name="Normal 2 2 2 39" xfId="211"/>
    <cellStyle name="Normal 2 2 2 4" xfId="55"/>
    <cellStyle name="Normal 2 2 2 40" xfId="415"/>
    <cellStyle name="Normal 2 2 2 41" xfId="419"/>
    <cellStyle name="Normal 2 2 2 42" xfId="429"/>
    <cellStyle name="Normal 2 2 2 43" xfId="435"/>
    <cellStyle name="Normal 2 2 2 44" xfId="2231"/>
    <cellStyle name="Normal 2 2 2 45" xfId="2242"/>
    <cellStyle name="Normal 2 2 2 5" xfId="68"/>
    <cellStyle name="Normal 2 2 2 6" xfId="82"/>
    <cellStyle name="Normal 2 2 2 7" xfId="112"/>
    <cellStyle name="Normal 2 2 2 8" xfId="127"/>
    <cellStyle name="Normal 2 2 2 9" xfId="129"/>
    <cellStyle name="Normal 2 2 3" xfId="48"/>
    <cellStyle name="Normal 2 2 3 10" xfId="113"/>
    <cellStyle name="Normal 2 2 3 11" xfId="120"/>
    <cellStyle name="Normal 2 2 3 12" xfId="130"/>
    <cellStyle name="Normal 2 2 3 13" xfId="150"/>
    <cellStyle name="Normal 2 2 3 14" xfId="166"/>
    <cellStyle name="Normal 2 2 3 15" xfId="171"/>
    <cellStyle name="Normal 2 2 3 16" xfId="139"/>
    <cellStyle name="Normal 2 2 3 17" xfId="142"/>
    <cellStyle name="Normal 2 2 3 18" xfId="184"/>
    <cellStyle name="Normal 2 2 3 19" xfId="202"/>
    <cellStyle name="Normal 2 2 3 2" xfId="50"/>
    <cellStyle name="Normal 2 2 3 2 10" xfId="170"/>
    <cellStyle name="Normal 2 2 3 2 11" xfId="168"/>
    <cellStyle name="Normal 2 2 3 2 12" xfId="180"/>
    <cellStyle name="Normal 2 2 3 2 13" xfId="186"/>
    <cellStyle name="Normal 2 2 3 2 14" xfId="198"/>
    <cellStyle name="Normal 2 2 3 2 15" xfId="207"/>
    <cellStyle name="Normal 2 2 3 2 16" xfId="222"/>
    <cellStyle name="Normal 2 2 3 2 17" xfId="230"/>
    <cellStyle name="Normal 2 2 3 2 18" xfId="262"/>
    <cellStyle name="Normal 2 2 3 2 19" xfId="254"/>
    <cellStyle name="Normal 2 2 3 2 2" xfId="59"/>
    <cellStyle name="Normal 2 2 3 2 20" xfId="251"/>
    <cellStyle name="Normal 2 2 3 2 21" xfId="245"/>
    <cellStyle name="Normal 2 2 3 2 22" xfId="232"/>
    <cellStyle name="Normal 2 2 3 2 23" xfId="279"/>
    <cellStyle name="Normal 2 2 3 2 24" xfId="305"/>
    <cellStyle name="Normal 2 2 3 2 25" xfId="349"/>
    <cellStyle name="Normal 2 2 3 2 26" xfId="343"/>
    <cellStyle name="Normal 2 2 3 2 27" xfId="333"/>
    <cellStyle name="Normal 2 2 3 2 28" xfId="362"/>
    <cellStyle name="Normal 2 2 3 2 29" xfId="347"/>
    <cellStyle name="Normal 2 2 3 2 3" xfId="76"/>
    <cellStyle name="Normal 2 2 3 2 30" xfId="325"/>
    <cellStyle name="Normal 2 2 3 2 31" xfId="361"/>
    <cellStyle name="Normal 2 2 3 2 32" xfId="299"/>
    <cellStyle name="Normal 2 2 3 2 33" xfId="376"/>
    <cellStyle name="Normal 2 2 3 2 34" xfId="298"/>
    <cellStyle name="Normal 2 2 3 2 35" xfId="401"/>
    <cellStyle name="Normal 2 2 3 2 36" xfId="332"/>
    <cellStyle name="Normal 2 2 3 2 37" xfId="407"/>
    <cellStyle name="Normal 2 2 3 2 38" xfId="411"/>
    <cellStyle name="Normal 2 2 3 2 39" xfId="422"/>
    <cellStyle name="Normal 2 2 3 2 4" xfId="73"/>
    <cellStyle name="Normal 2 2 3 2 40" xfId="432"/>
    <cellStyle name="Normal 2 2 3 2 41" xfId="416"/>
    <cellStyle name="Normal 2 2 3 2 42" xfId="2234"/>
    <cellStyle name="Normal 2 2 3 2 43" xfId="2248"/>
    <cellStyle name="Normal 2 2 3 2 5" xfId="115"/>
    <cellStyle name="Normal 2 2 3 2 6" xfId="128"/>
    <cellStyle name="Normal 2 2 3 2 7" xfId="132"/>
    <cellStyle name="Normal 2 2 3 2 8" xfId="152"/>
    <cellStyle name="Normal 2 2 3 2 9" xfId="160"/>
    <cellStyle name="Normal 2 2 3 20" xfId="192"/>
    <cellStyle name="Normal 2 2 3 21" xfId="220"/>
    <cellStyle name="Normal 2 2 3 22" xfId="237"/>
    <cellStyle name="Normal 2 2 3 23" xfId="242"/>
    <cellStyle name="Normal 2 2 3 24" xfId="259"/>
    <cellStyle name="Normal 2 2 3 25" xfId="255"/>
    <cellStyle name="Normal 2 2 3 26" xfId="233"/>
    <cellStyle name="Normal 2 2 3 27" xfId="241"/>
    <cellStyle name="Normal 2 2 3 28" xfId="277"/>
    <cellStyle name="Normal 2 2 3 29" xfId="303"/>
    <cellStyle name="Normal 2 2 3 3" xfId="52"/>
    <cellStyle name="Normal 2 2 3 3 10" xfId="134"/>
    <cellStyle name="Normal 2 2 3 3 11" xfId="154"/>
    <cellStyle name="Normal 2 2 3 3 12" xfId="164"/>
    <cellStyle name="Normal 2 2 3 3 13" xfId="144"/>
    <cellStyle name="Normal 2 2 3 3 14" xfId="176"/>
    <cellStyle name="Normal 2 2 3 3 15" xfId="178"/>
    <cellStyle name="Normal 2 2 3 3 16" xfId="188"/>
    <cellStyle name="Normal 2 2 3 3 17" xfId="196"/>
    <cellStyle name="Normal 2 2 3 3 18" xfId="203"/>
    <cellStyle name="Normal 2 2 3 3 19" xfId="224"/>
    <cellStyle name="Normal 2 2 3 3 2" xfId="54"/>
    <cellStyle name="Normal 2 2 3 3 2 10" xfId="148"/>
    <cellStyle name="Normal 2 2 3 3 2 11" xfId="175"/>
    <cellStyle name="Normal 2 2 3 3 2 12" xfId="143"/>
    <cellStyle name="Normal 2 2 3 3 2 13" xfId="190"/>
    <cellStyle name="Normal 2 2 3 3 2 14" xfId="194"/>
    <cellStyle name="Normal 2 2 3 3 2 15" xfId="208"/>
    <cellStyle name="Normal 2 2 3 3 2 16" xfId="226"/>
    <cellStyle name="Normal 2 2 3 3 2 17" xfId="247"/>
    <cellStyle name="Normal 2 2 3 3 2 18" xfId="270"/>
    <cellStyle name="Normal 2 2 3 3 2 19" xfId="217"/>
    <cellStyle name="Normal 2 2 3 3 2 2" xfId="65"/>
    <cellStyle name="Normal 2 2 3 3 2 20" xfId="264"/>
    <cellStyle name="Normal 2 2 3 3 2 21" xfId="213"/>
    <cellStyle name="Normal 2 2 3 3 2 22" xfId="239"/>
    <cellStyle name="Normal 2 2 3 3 2 23" xfId="283"/>
    <cellStyle name="Normal 2 2 3 3 2 24" xfId="309"/>
    <cellStyle name="Normal 2 2 3 3 2 25" xfId="334"/>
    <cellStyle name="Normal 2 2 3 3 2 26" xfId="316"/>
    <cellStyle name="Normal 2 2 3 3 2 27" xfId="289"/>
    <cellStyle name="Normal 2 2 3 3 2 28" xfId="290"/>
    <cellStyle name="Normal 2 2 3 3 2 29" xfId="390"/>
    <cellStyle name="Normal 2 2 3 3 2 3" xfId="80"/>
    <cellStyle name="Normal 2 2 3 3 2 30" xfId="323"/>
    <cellStyle name="Normal 2 2 3 3 2 31" xfId="372"/>
    <cellStyle name="Normal 2 2 3 3 2 32" xfId="322"/>
    <cellStyle name="Normal 2 2 3 3 2 33" xfId="365"/>
    <cellStyle name="Normal 2 2 3 3 2 34" xfId="366"/>
    <cellStyle name="Normal 2 2 3 3 2 35" xfId="317"/>
    <cellStyle name="Normal 2 2 3 3 2 36" xfId="338"/>
    <cellStyle name="Normal 2 2 3 3 2 37" xfId="406"/>
    <cellStyle name="Normal 2 2 3 3 2 38" xfId="414"/>
    <cellStyle name="Normal 2 2 3 3 2 39" xfId="426"/>
    <cellStyle name="Normal 2 2 3 3 2 4" xfId="109"/>
    <cellStyle name="Normal 2 2 3 3 2 40" xfId="438"/>
    <cellStyle name="Normal 2 2 3 3 2 41" xfId="430"/>
    <cellStyle name="Normal 2 2 3 3 2 42" xfId="2238"/>
    <cellStyle name="Normal 2 2 3 3 2 43" xfId="2243"/>
    <cellStyle name="Normal 2 2 3 3 2 5" xfId="119"/>
    <cellStyle name="Normal 2 2 3 3 2 6" xfId="124"/>
    <cellStyle name="Normal 2 2 3 3 2 7" xfId="136"/>
    <cellStyle name="Normal 2 2 3 3 2 8" xfId="156"/>
    <cellStyle name="Normal 2 2 3 3 2 9" xfId="162"/>
    <cellStyle name="Normal 2 2 3 3 20" xfId="253"/>
    <cellStyle name="Normal 2 2 3 3 21" xfId="227"/>
    <cellStyle name="Normal 2 2 3 3 22" xfId="243"/>
    <cellStyle name="Normal 2 2 3 3 23" xfId="252"/>
    <cellStyle name="Normal 2 2 3 3 24" xfId="249"/>
    <cellStyle name="Normal 2 2 3 3 25" xfId="250"/>
    <cellStyle name="Normal 2 2 3 3 26" xfId="281"/>
    <cellStyle name="Normal 2 2 3 3 27" xfId="307"/>
    <cellStyle name="Normal 2 2 3 3 28" xfId="342"/>
    <cellStyle name="Normal 2 2 3 3 29" xfId="354"/>
    <cellStyle name="Normal 2 2 3 3 3" xfId="63"/>
    <cellStyle name="Normal 2 2 3 3 30" xfId="379"/>
    <cellStyle name="Normal 2 2 3 3 31" xfId="388"/>
    <cellStyle name="Normal 2 2 3 3 32" xfId="384"/>
    <cellStyle name="Normal 2 2 3 3 33" xfId="331"/>
    <cellStyle name="Normal 2 2 3 3 34" xfId="378"/>
    <cellStyle name="Normal 2 2 3 3 35" xfId="360"/>
    <cellStyle name="Normal 2 2 3 3 36" xfId="385"/>
    <cellStyle name="Normal 2 2 3 3 37" xfId="350"/>
    <cellStyle name="Normal 2 2 3 3 38" xfId="394"/>
    <cellStyle name="Normal 2 2 3 3 39" xfId="355"/>
    <cellStyle name="Normal 2 2 3 3 4" xfId="60"/>
    <cellStyle name="Normal 2 2 3 3 40" xfId="404"/>
    <cellStyle name="Normal 2 2 3 3 41" xfId="412"/>
    <cellStyle name="Normal 2 2 3 3 42" xfId="424"/>
    <cellStyle name="Normal 2 2 3 3 43" xfId="440"/>
    <cellStyle name="Normal 2 2 3 3 44" xfId="417"/>
    <cellStyle name="Normal 2 2 3 3 45" xfId="2236"/>
    <cellStyle name="Normal 2 2 3 3 46" xfId="2247"/>
    <cellStyle name="Normal 2 2 3 3 5" xfId="78"/>
    <cellStyle name="Normal 2 2 3 3 5 2" xfId="87"/>
    <cellStyle name="Normal 2 2 3 3 5 3" xfId="92"/>
    <cellStyle name="Normal 2 2 3 3 5 3 2" xfId="97"/>
    <cellStyle name="Normal 2 2 3 3 5 4" xfId="102"/>
    <cellStyle name="Normal 2 2 3 3 5 5" xfId="100"/>
    <cellStyle name="Normal 2 2 3 3 5 5 2" xfId="108"/>
    <cellStyle name="Normal 2 2 3 3 6" xfId="105"/>
    <cellStyle name="Normal 2 2 3 3 7" xfId="71"/>
    <cellStyle name="Normal 2 2 3 3 8" xfId="117"/>
    <cellStyle name="Normal 2 2 3 3 9" xfId="122"/>
    <cellStyle name="Normal 2 2 3 30" xfId="314"/>
    <cellStyle name="Normal 2 2 3 31" xfId="368"/>
    <cellStyle name="Normal 2 2 3 32" xfId="351"/>
    <cellStyle name="Normal 2 2 3 33" xfId="345"/>
    <cellStyle name="Normal 2 2 3 34" xfId="288"/>
    <cellStyle name="Normal 2 2 3 35" xfId="335"/>
    <cellStyle name="Normal 2 2 3 36" xfId="319"/>
    <cellStyle name="Normal 2 2 3 37" xfId="389"/>
    <cellStyle name="Normal 2 2 3 38" xfId="327"/>
    <cellStyle name="Normal 2 2 3 39" xfId="340"/>
    <cellStyle name="Normal 2 2 3 4" xfId="58"/>
    <cellStyle name="Normal 2 2 3 40" xfId="398"/>
    <cellStyle name="Normal 2 2 3 41" xfId="369"/>
    <cellStyle name="Normal 2 2 3 42" xfId="210"/>
    <cellStyle name="Normal 2 2 3 43" xfId="409"/>
    <cellStyle name="Normal 2 2 3 44" xfId="420"/>
    <cellStyle name="Normal 2 2 3 45" xfId="428"/>
    <cellStyle name="Normal 2 2 3 46" xfId="434"/>
    <cellStyle name="Normal 2 2 3 47" xfId="2232"/>
    <cellStyle name="Normal 2 2 3 48" xfId="2241"/>
    <cellStyle name="Normal 2 2 3 5" xfId="66"/>
    <cellStyle name="Normal 2 2 3 5 10" xfId="157"/>
    <cellStyle name="Normal 2 2 3 5 11" xfId="44"/>
    <cellStyle name="Normal 2 2 3 5 12" xfId="167"/>
    <cellStyle name="Normal 2 2 3 5 13" xfId="181"/>
    <cellStyle name="Normal 2 2 3 5 14" xfId="191"/>
    <cellStyle name="Normal 2 2 3 5 15" xfId="199"/>
    <cellStyle name="Normal 2 2 3 5 16" xfId="204"/>
    <cellStyle name="Normal 2 2 3 5 17" xfId="229"/>
    <cellStyle name="Normal 2 2 3 5 18" xfId="268"/>
    <cellStyle name="Normal 2 2 3 5 19" xfId="214"/>
    <cellStyle name="Normal 2 2 3 5 2" xfId="67"/>
    <cellStyle name="Normal 2 2 3 5 20" xfId="234"/>
    <cellStyle name="Normal 2 2 3 5 21" xfId="240"/>
    <cellStyle name="Normal 2 2 3 5 22" xfId="265"/>
    <cellStyle name="Normal 2 2 3 5 23" xfId="218"/>
    <cellStyle name="Normal 2 2 3 5 24" xfId="284"/>
    <cellStyle name="Normal 2 2 3 5 25" xfId="312"/>
    <cellStyle name="Normal 2 2 3 5 26" xfId="301"/>
    <cellStyle name="Normal 2 2 3 5 27" xfId="291"/>
    <cellStyle name="Normal 2 2 3 5 28" xfId="358"/>
    <cellStyle name="Normal 2 2 3 5 29" xfId="310"/>
    <cellStyle name="Normal 2 2 3 5 3" xfId="81"/>
    <cellStyle name="Normal 2 2 3 5 3 2" xfId="84"/>
    <cellStyle name="Normal 2 2 3 5 3 3" xfId="90"/>
    <cellStyle name="Normal 2 2 3 5 3 3 2" xfId="95"/>
    <cellStyle name="Normal 2 2 3 5 30" xfId="367"/>
    <cellStyle name="Normal 2 2 3 5 31" xfId="297"/>
    <cellStyle name="Normal 2 2 3 5 32" xfId="386"/>
    <cellStyle name="Normal 2 2 3 5 33" xfId="373"/>
    <cellStyle name="Normal 2 2 3 5 34" xfId="346"/>
    <cellStyle name="Normal 2 2 3 5 35" xfId="356"/>
    <cellStyle name="Normal 2 2 3 5 36" xfId="300"/>
    <cellStyle name="Normal 2 2 3 5 37" xfId="380"/>
    <cellStyle name="Normal 2 2 3 5 38" xfId="209"/>
    <cellStyle name="Normal 2 2 3 5 39" xfId="408"/>
    <cellStyle name="Normal 2 2 3 5 4" xfId="98"/>
    <cellStyle name="Normal 2 2 3 5 4 2" xfId="106"/>
    <cellStyle name="Normal 2 2 3 5 40" xfId="427"/>
    <cellStyle name="Normal 2 2 3 5 41" xfId="433"/>
    <cellStyle name="Normal 2 2 3 5 42" xfId="431"/>
    <cellStyle name="Normal 2 2 3 5 43" xfId="2239"/>
    <cellStyle name="Normal 2 2 3 5 44" xfId="2244"/>
    <cellStyle name="Normal 2 2 3 5 5" xfId="110"/>
    <cellStyle name="Normal 2 2 3 5 6" xfId="123"/>
    <cellStyle name="Normal 2 2 3 5 7" xfId="111"/>
    <cellStyle name="Normal 2 2 3 5 8" xfId="137"/>
    <cellStyle name="Normal 2 2 3 5 9" xfId="158"/>
    <cellStyle name="Normal 2 2 3 6" xfId="69"/>
    <cellStyle name="Normal 2 2 3 6 2" xfId="85"/>
    <cellStyle name="Normal 2 2 3 6 3" xfId="89"/>
    <cellStyle name="Normal 2 2 3 6 3 2" xfId="94"/>
    <cellStyle name="Normal 2 2 3 7" xfId="88"/>
    <cellStyle name="Normal 2 2 3 7 2" xfId="93"/>
    <cellStyle name="Normal 2 2 3 8" xfId="103"/>
    <cellStyle name="Normal 2 2 3 9" xfId="83"/>
    <cellStyle name="Normal 2 2 4" xfId="51"/>
    <cellStyle name="Normal 2 2 4 10" xfId="133"/>
    <cellStyle name="Normal 2 2 4 11" xfId="153"/>
    <cellStyle name="Normal 2 2 4 12" xfId="163"/>
    <cellStyle name="Normal 2 2 4 13" xfId="174"/>
    <cellStyle name="Normal 2 2 4 14" xfId="172"/>
    <cellStyle name="Normal 2 2 4 15" xfId="138"/>
    <cellStyle name="Normal 2 2 4 16" xfId="187"/>
    <cellStyle name="Normal 2 2 4 17" xfId="197"/>
    <cellStyle name="Normal 2 2 4 18" xfId="193"/>
    <cellStyle name="Normal 2 2 4 19" xfId="223"/>
    <cellStyle name="Normal 2 2 4 2" xfId="53"/>
    <cellStyle name="Normal 2 2 4 2 10" xfId="140"/>
    <cellStyle name="Normal 2 2 4 2 11" xfId="173"/>
    <cellStyle name="Normal 2 2 4 2 12" xfId="177"/>
    <cellStyle name="Normal 2 2 4 2 13" xfId="189"/>
    <cellStyle name="Normal 2 2 4 2 14" xfId="195"/>
    <cellStyle name="Normal 2 2 4 2 15" xfId="206"/>
    <cellStyle name="Normal 2 2 4 2 16" xfId="225"/>
    <cellStyle name="Normal 2 2 4 2 17" xfId="244"/>
    <cellStyle name="Normal 2 2 4 2 18" xfId="248"/>
    <cellStyle name="Normal 2 2 4 2 19" xfId="258"/>
    <cellStyle name="Normal 2 2 4 2 2" xfId="64"/>
    <cellStyle name="Normal 2 2 4 2 20" xfId="266"/>
    <cellStyle name="Normal 2 2 4 2 21" xfId="216"/>
    <cellStyle name="Normal 2 2 4 2 22" xfId="231"/>
    <cellStyle name="Normal 2 2 4 2 23" xfId="282"/>
    <cellStyle name="Normal 2 2 4 2 24" xfId="308"/>
    <cellStyle name="Normal 2 2 4 2 25" xfId="336"/>
    <cellStyle name="Normal 2 2 4 2 26" xfId="363"/>
    <cellStyle name="Normal 2 2 4 2 27" xfId="375"/>
    <cellStyle name="Normal 2 2 4 2 28" xfId="292"/>
    <cellStyle name="Normal 2 2 4 2 29" xfId="377"/>
    <cellStyle name="Normal 2 2 4 2 3" xfId="79"/>
    <cellStyle name="Normal 2 2 4 2 30" xfId="320"/>
    <cellStyle name="Normal 2 2 4 2 31" xfId="294"/>
    <cellStyle name="Normal 2 2 4 2 32" xfId="313"/>
    <cellStyle name="Normal 2 2 4 2 33" xfId="329"/>
    <cellStyle name="Normal 2 2 4 2 34" xfId="286"/>
    <cellStyle name="Normal 2 2 4 2 35" xfId="382"/>
    <cellStyle name="Normal 2 2 4 2 36" xfId="381"/>
    <cellStyle name="Normal 2 2 4 2 37" xfId="212"/>
    <cellStyle name="Normal 2 2 4 2 38" xfId="405"/>
    <cellStyle name="Normal 2 2 4 2 39" xfId="425"/>
    <cellStyle name="Normal 2 2 4 2 4" xfId="70"/>
    <cellStyle name="Normal 2 2 4 2 40" xfId="437"/>
    <cellStyle name="Normal 2 2 4 2 41" xfId="418"/>
    <cellStyle name="Normal 2 2 4 2 42" xfId="2237"/>
    <cellStyle name="Normal 2 2 4 2 43" xfId="2245"/>
    <cellStyle name="Normal 2 2 4 2 5" xfId="118"/>
    <cellStyle name="Normal 2 2 4 2 6" xfId="126"/>
    <cellStyle name="Normal 2 2 4 2 7" xfId="135"/>
    <cellStyle name="Normal 2 2 4 2 8" xfId="155"/>
    <cellStyle name="Normal 2 2 4 2 9" xfId="161"/>
    <cellStyle name="Normal 2 2 4 20" xfId="263"/>
    <cellStyle name="Normal 2 2 4 21" xfId="257"/>
    <cellStyle name="Normal 2 2 4 22" xfId="271"/>
    <cellStyle name="Normal 2 2 4 23" xfId="273"/>
    <cellStyle name="Normal 2 2 4 24" xfId="274"/>
    <cellStyle name="Normal 2 2 4 25" xfId="275"/>
    <cellStyle name="Normal 2 2 4 26" xfId="280"/>
    <cellStyle name="Normal 2 2 4 27" xfId="306"/>
    <cellStyle name="Normal 2 2 4 28" xfId="337"/>
    <cellStyle name="Normal 2 2 4 29" xfId="341"/>
    <cellStyle name="Normal 2 2 4 3" xfId="62"/>
    <cellStyle name="Normal 2 2 4 30" xfId="357"/>
    <cellStyle name="Normal 2 2 4 31" xfId="321"/>
    <cellStyle name="Normal 2 2 4 32" xfId="364"/>
    <cellStyle name="Normal 2 2 4 33" xfId="392"/>
    <cellStyle name="Normal 2 2 4 34" xfId="395"/>
    <cellStyle name="Normal 2 2 4 35" xfId="397"/>
    <cellStyle name="Normal 2 2 4 36" xfId="399"/>
    <cellStyle name="Normal 2 2 4 37" xfId="400"/>
    <cellStyle name="Normal 2 2 4 38" xfId="383"/>
    <cellStyle name="Normal 2 2 4 39" xfId="371"/>
    <cellStyle name="Normal 2 2 4 4" xfId="61"/>
    <cellStyle name="Normal 2 2 4 40" xfId="402"/>
    <cellStyle name="Normal 2 2 4 41" xfId="410"/>
    <cellStyle name="Normal 2 2 4 42" xfId="423"/>
    <cellStyle name="Normal 2 2 4 43" xfId="439"/>
    <cellStyle name="Normal 2 2 4 44" xfId="436"/>
    <cellStyle name="Normal 2 2 4 45" xfId="2235"/>
    <cellStyle name="Normal 2 2 4 46" xfId="2240"/>
    <cellStyle name="Normal 2 2 4 5" xfId="77"/>
    <cellStyle name="Normal 2 2 4 5 2" xfId="86"/>
    <cellStyle name="Normal 2 2 4 5 3" xfId="91"/>
    <cellStyle name="Normal 2 2 4 5 3 2" xfId="96"/>
    <cellStyle name="Normal 2 2 4 5 4" xfId="101"/>
    <cellStyle name="Normal 2 2 4 5 5" xfId="99"/>
    <cellStyle name="Normal 2 2 4 5 5 2" xfId="107"/>
    <cellStyle name="Normal 2 2 4 6" xfId="104"/>
    <cellStyle name="Normal 2 2 4 7" xfId="72"/>
    <cellStyle name="Normal 2 2 4 8" xfId="116"/>
    <cellStyle name="Normal 2 2 4 9" xfId="125"/>
    <cellStyle name="Normal 2 2 5" xfId="475"/>
    <cellStyle name="Normal 2 2 5 10" xfId="2198"/>
    <cellStyle name="Normal 2 2 5 11" xfId="2227"/>
    <cellStyle name="Normal 2 2 5 12" xfId="2203"/>
    <cellStyle name="Normal 2 2 5 2" xfId="489"/>
    <cellStyle name="Normal 2 2 5 3" xfId="2186"/>
    <cellStyle name="Normal 2 2 5 4" xfId="2212"/>
    <cellStyle name="Normal 2 2 5 5" xfId="483"/>
    <cellStyle name="Normal 2 2 5 6" xfId="2210"/>
    <cellStyle name="Normal 2 2 5 7" xfId="2196"/>
    <cellStyle name="Normal 2 2 5 8" xfId="482"/>
    <cellStyle name="Normal 2 2 5 9" xfId="2224"/>
    <cellStyle name="Normal 2 2 6" xfId="490"/>
    <cellStyle name="Normal 2 2 7" xfId="476"/>
    <cellStyle name="Normal 2 2 8" xfId="2197"/>
    <cellStyle name="Normal 2 2 9" xfId="2195"/>
    <cellStyle name="Normal 2 20" xfId="1078"/>
    <cellStyle name="Normal 2 21" xfId="1096"/>
    <cellStyle name="Normal 2 22" xfId="1112"/>
    <cellStyle name="Normal 2 23" xfId="1129"/>
    <cellStyle name="Normal 2 24" xfId="1054"/>
    <cellStyle name="Normal 2 25" xfId="774"/>
    <cellStyle name="Normal 2 26" xfId="1205"/>
    <cellStyle name="Normal 2 27" xfId="872"/>
    <cellStyle name="Normal 2 28" xfId="1156"/>
    <cellStyle name="Normal 2 29" xfId="1234"/>
    <cellStyle name="Normal 2 3" xfId="47"/>
    <cellStyle name="Normal 2 30" xfId="1250"/>
    <cellStyle name="Normal 2 31" xfId="1266"/>
    <cellStyle name="Normal 2 32" xfId="1285"/>
    <cellStyle name="Normal 2 33" xfId="1303"/>
    <cellStyle name="Normal 2 34" xfId="1322"/>
    <cellStyle name="Normal 2 35" xfId="1340"/>
    <cellStyle name="Normal 2 36" xfId="1357"/>
    <cellStyle name="Normal 2 37" xfId="1375"/>
    <cellStyle name="Normal 2 38" xfId="1391"/>
    <cellStyle name="Normal 2 39" xfId="1408"/>
    <cellStyle name="Normal 2 4" xfId="470"/>
    <cellStyle name="Normal 2 4 10" xfId="2207"/>
    <cellStyle name="Normal 2 4 11" xfId="2220"/>
    <cellStyle name="Normal 2 4 12" xfId="2190"/>
    <cellStyle name="Normal 2 4 2" xfId="488"/>
    <cellStyle name="Normal 2 4 3" xfId="2185"/>
    <cellStyle name="Normal 2 4 4" xfId="2204"/>
    <cellStyle name="Normal 2 4 5" xfId="479"/>
    <cellStyle name="Normal 2 4 6" xfId="2201"/>
    <cellStyle name="Normal 2 4 7" xfId="2230"/>
    <cellStyle name="Normal 2 4 8" xfId="2215"/>
    <cellStyle name="Normal 2 4 9" xfId="2226"/>
    <cellStyle name="Normal 2 40" xfId="1426"/>
    <cellStyle name="Normal 2 41" xfId="1444"/>
    <cellStyle name="Normal 2 42" xfId="1461"/>
    <cellStyle name="Normal 2 43" xfId="1479"/>
    <cellStyle name="Normal 2 44" xfId="1495"/>
    <cellStyle name="Normal 2 45" xfId="1509"/>
    <cellStyle name="Normal 2 46" xfId="1055"/>
    <cellStyle name="Normal 2 47" xfId="1242"/>
    <cellStyle name="Normal 2 48" xfId="1366"/>
    <cellStyle name="Normal 2 49" xfId="1437"/>
    <cellStyle name="Normal 2 5" xfId="491"/>
    <cellStyle name="Normal 2 50" xfId="1483"/>
    <cellStyle name="Normal 2 51" xfId="1604"/>
    <cellStyle name="Normal 2 52" xfId="1620"/>
    <cellStyle name="Normal 2 53" xfId="1636"/>
    <cellStyle name="Normal 2 54" xfId="1652"/>
    <cellStyle name="Normal 2 55" xfId="1668"/>
    <cellStyle name="Normal 2 56" xfId="1684"/>
    <cellStyle name="Normal 2 57" xfId="1700"/>
    <cellStyle name="Normal 2 58" xfId="1716"/>
    <cellStyle name="Normal 2 59" xfId="1731"/>
    <cellStyle name="Normal 2 6" xfId="529"/>
    <cellStyle name="Normal 2 60" xfId="1746"/>
    <cellStyle name="Normal 2 61" xfId="1761"/>
    <cellStyle name="Normal 2 62" xfId="1776"/>
    <cellStyle name="Normal 2 63" xfId="1791"/>
    <cellStyle name="Normal 2 64" xfId="1806"/>
    <cellStyle name="Normal 2 65" xfId="1821"/>
    <cellStyle name="Normal 2 66" xfId="1836"/>
    <cellStyle name="Normal 2 67" xfId="1851"/>
    <cellStyle name="Normal 2 68" xfId="1866"/>
    <cellStyle name="Normal 2 69" xfId="1881"/>
    <cellStyle name="Normal 2 7" xfId="842"/>
    <cellStyle name="Normal 2 70" xfId="1894"/>
    <cellStyle name="Normal 2 71" xfId="1907"/>
    <cellStyle name="Normal 2 72" xfId="1920"/>
    <cellStyle name="Normal 2 73" xfId="1933"/>
    <cellStyle name="Normal 2 74" xfId="1945"/>
    <cellStyle name="Normal 2 75" xfId="1957"/>
    <cellStyle name="Normal 2 76" xfId="1969"/>
    <cellStyle name="Normal 2 77" xfId="1981"/>
    <cellStyle name="Normal 2 78" xfId="1993"/>
    <cellStyle name="Normal 2 79" xfId="2005"/>
    <cellStyle name="Normal 2 8" xfId="907"/>
    <cellStyle name="Normal 2 80" xfId="2017"/>
    <cellStyle name="Normal 2 81" xfId="2029"/>
    <cellStyle name="Normal 2 82" xfId="2041"/>
    <cellStyle name="Normal 2 83" xfId="2053"/>
    <cellStyle name="Normal 2 84" xfId="2065"/>
    <cellStyle name="Normal 2 85" xfId="2077"/>
    <cellStyle name="Normal 2 86" xfId="2089"/>
    <cellStyle name="Normal 2 87" xfId="2100"/>
    <cellStyle name="Normal 2 88" xfId="2110"/>
    <cellStyle name="Normal 2 89" xfId="2120"/>
    <cellStyle name="Normal 2 9" xfId="525"/>
    <cellStyle name="Normal 2 90" xfId="2128"/>
    <cellStyle name="Normal 2 91" xfId="2135"/>
    <cellStyle name="Normal 2 92" xfId="2142"/>
    <cellStyle name="Normal 2 93" xfId="2149"/>
    <cellStyle name="Normal 2 94" xfId="2156"/>
    <cellStyle name="Normal 2 95" xfId="485"/>
    <cellStyle name="Normal 2 96" xfId="2223"/>
    <cellStyle name="Normal 2 97" xfId="2194"/>
    <cellStyle name="Normal 2 98" xfId="486"/>
    <cellStyle name="Normal 2 99" xfId="2189"/>
    <cellStyle name="Normal 20" xfId="459"/>
    <cellStyle name="Normal 21" xfId="460"/>
    <cellStyle name="Normal 22" xfId="461"/>
    <cellStyle name="Normal 23" xfId="462"/>
    <cellStyle name="Normal 24" xfId="463"/>
    <cellStyle name="Normal 25" xfId="467"/>
    <cellStyle name="Normal 25 10" xfId="2221"/>
    <cellStyle name="Normal 25 11" xfId="2217"/>
    <cellStyle name="Normal 25 12" xfId="2202"/>
    <cellStyle name="Normal 25 2" xfId="487"/>
    <cellStyle name="Normal 25 3" xfId="2184"/>
    <cellStyle name="Normal 25 4" xfId="2213"/>
    <cellStyle name="Normal 25 5" xfId="480"/>
    <cellStyle name="Normal 25 6" xfId="2209"/>
    <cellStyle name="Normal 25 7" xfId="2229"/>
    <cellStyle name="Normal 25 8" xfId="2218"/>
    <cellStyle name="Normal 25 9" xfId="2222"/>
    <cellStyle name="Normal 26" xfId="464"/>
    <cellStyle name="Normal 27" xfId="465"/>
    <cellStyle name="Normal 28" xfId="466"/>
    <cellStyle name="Normal 29" xfId="473"/>
    <cellStyle name="Normal 29 10" xfId="792"/>
    <cellStyle name="Normal 29 11" xfId="670"/>
    <cellStyle name="Normal 29 12" xfId="595"/>
    <cellStyle name="Normal 29 13" xfId="656"/>
    <cellStyle name="Normal 29 14" xfId="549"/>
    <cellStyle name="Normal 29 15" xfId="742"/>
    <cellStyle name="Normal 29 16" xfId="686"/>
    <cellStyle name="Normal 29 17" xfId="854"/>
    <cellStyle name="Normal 29 18" xfId="841"/>
    <cellStyle name="Normal 29 19" xfId="602"/>
    <cellStyle name="Normal 29 2" xfId="532"/>
    <cellStyle name="Normal 29 20" xfId="1052"/>
    <cellStyle name="Normal 29 21" xfId="1082"/>
    <cellStyle name="Normal 29 22" xfId="925"/>
    <cellStyle name="Normal 29 23" xfId="1202"/>
    <cellStyle name="Normal 29 24" xfId="958"/>
    <cellStyle name="Normal 29 25" xfId="914"/>
    <cellStyle name="Normal 29 26" xfId="573"/>
    <cellStyle name="Normal 29 27" xfId="613"/>
    <cellStyle name="Normal 29 28" xfId="935"/>
    <cellStyle name="Normal 29 29" xfId="590"/>
    <cellStyle name="Normal 29 3" xfId="867"/>
    <cellStyle name="Normal 29 30" xfId="1131"/>
    <cellStyle name="Normal 29 31" xfId="1102"/>
    <cellStyle name="Normal 29 32" xfId="1133"/>
    <cellStyle name="Normal 29 33" xfId="766"/>
    <cellStyle name="Normal 29 34" xfId="575"/>
    <cellStyle name="Normal 29 35" xfId="666"/>
    <cellStyle name="Normal 29 36" xfId="893"/>
    <cellStyle name="Normal 29 37" xfId="855"/>
    <cellStyle name="Normal 29 38" xfId="612"/>
    <cellStyle name="Normal 29 39" xfId="1169"/>
    <cellStyle name="Normal 29 4" xfId="702"/>
    <cellStyle name="Normal 29 40" xfId="1213"/>
    <cellStyle name="Normal 29 41" xfId="1155"/>
    <cellStyle name="Normal 29 42" xfId="1438"/>
    <cellStyle name="Normal 29 43" xfId="600"/>
    <cellStyle name="Normal 29 44" xfId="1462"/>
    <cellStyle name="Normal 29 45" xfId="1293"/>
    <cellStyle name="Normal 29 46" xfId="1377"/>
    <cellStyle name="Normal 29 47" xfId="908"/>
    <cellStyle name="Normal 29 48" xfId="1275"/>
    <cellStyle name="Normal 29 49" xfId="776"/>
    <cellStyle name="Normal 29 5" xfId="648"/>
    <cellStyle name="Normal 29 50" xfId="1454"/>
    <cellStyle name="Normal 29 51" xfId="1427"/>
    <cellStyle name="Normal 29 52" xfId="717"/>
    <cellStyle name="Normal 29 53" xfId="843"/>
    <cellStyle name="Normal 29 54" xfId="1235"/>
    <cellStyle name="Normal 29 55" xfId="1409"/>
    <cellStyle name="Normal 29 56" xfId="1429"/>
    <cellStyle name="Normal 29 57" xfId="858"/>
    <cellStyle name="Normal 29 58" xfId="1017"/>
    <cellStyle name="Normal 29 59" xfId="1167"/>
    <cellStyle name="Normal 29 6" xfId="536"/>
    <cellStyle name="Normal 29 60" xfId="1119"/>
    <cellStyle name="Normal 29 61" xfId="1312"/>
    <cellStyle name="Normal 29 62" xfId="1589"/>
    <cellStyle name="Normal 29 63" xfId="1436"/>
    <cellStyle name="Normal 29 64" xfId="924"/>
    <cellStyle name="Normal 29 65" xfId="1140"/>
    <cellStyle name="Normal 29 66" xfId="680"/>
    <cellStyle name="Normal 29 67" xfId="699"/>
    <cellStyle name="Normal 29 68" xfId="1091"/>
    <cellStyle name="Normal 29 69" xfId="1572"/>
    <cellStyle name="Normal 29 7" xfId="835"/>
    <cellStyle name="Normal 29 70" xfId="1456"/>
    <cellStyle name="Normal 29 71" xfId="1439"/>
    <cellStyle name="Normal 29 72" xfId="1576"/>
    <cellStyle name="Normal 29 73" xfId="1159"/>
    <cellStyle name="Normal 29 74" xfId="1526"/>
    <cellStyle name="Normal 29 75" xfId="1084"/>
    <cellStyle name="Normal 29 76" xfId="885"/>
    <cellStyle name="Normal 29 77" xfId="1556"/>
    <cellStyle name="Normal 29 78" xfId="1525"/>
    <cellStyle name="Normal 29 79" xfId="1231"/>
    <cellStyle name="Normal 29 8" xfId="745"/>
    <cellStyle name="Normal 29 80" xfId="697"/>
    <cellStyle name="Normal 29 81" xfId="683"/>
    <cellStyle name="Normal 29 82" xfId="1549"/>
    <cellStyle name="Normal 29 83" xfId="558"/>
    <cellStyle name="Normal 29 84" xfId="877"/>
    <cellStyle name="Normal 29 85" xfId="1515"/>
    <cellStyle name="Normal 29 86" xfId="1432"/>
    <cellStyle name="Normal 29 87" xfId="1223"/>
    <cellStyle name="Normal 29 88" xfId="1502"/>
    <cellStyle name="Normal 29 89" xfId="945"/>
    <cellStyle name="Normal 29 9" xfId="660"/>
    <cellStyle name="Normal 29 90" xfId="1518"/>
    <cellStyle name="Normal 3" xfId="42"/>
    <cellStyle name="Normal 3 10" xfId="900"/>
    <cellStyle name="Normal 3 11" xfId="496"/>
    <cellStyle name="Normal 3 12" xfId="502"/>
    <cellStyle name="Normal 3 13" xfId="928"/>
    <cellStyle name="Normal 3 14" xfId="947"/>
    <cellStyle name="Normal 3 15" xfId="965"/>
    <cellStyle name="Normal 3 16" xfId="984"/>
    <cellStyle name="Normal 3 17" xfId="1001"/>
    <cellStyle name="Normal 3 18" xfId="1019"/>
    <cellStyle name="Normal 3 19" xfId="1037"/>
    <cellStyle name="Normal 3 2" xfId="534"/>
    <cellStyle name="Normal 3 20" xfId="539"/>
    <cellStyle name="Normal 3 21" xfId="837"/>
    <cellStyle name="Normal 3 22" xfId="553"/>
    <cellStyle name="Normal 3 23" xfId="1157"/>
    <cellStyle name="Normal 3 24" xfId="1192"/>
    <cellStyle name="Normal 3 25" xfId="839"/>
    <cellStyle name="Normal 3 26" xfId="754"/>
    <cellStyle name="Normal 3 27" xfId="605"/>
    <cellStyle name="Normal 3 28" xfId="1208"/>
    <cellStyle name="Normal 3 29" xfId="962"/>
    <cellStyle name="Normal 3 3" xfId="863"/>
    <cellStyle name="Normal 3 30" xfId="1221"/>
    <cellStyle name="Normal 3 31" xfId="1245"/>
    <cellStyle name="Normal 3 32" xfId="1260"/>
    <cellStyle name="Normal 3 33" xfId="1279"/>
    <cellStyle name="Normal 3 34" xfId="1297"/>
    <cellStyle name="Normal 3 35" xfId="1316"/>
    <cellStyle name="Normal 3 36" xfId="1334"/>
    <cellStyle name="Normal 3 37" xfId="1351"/>
    <cellStyle name="Normal 3 38" xfId="1369"/>
    <cellStyle name="Normal 3 39" xfId="1385"/>
    <cellStyle name="Normal 3 4" xfId="548"/>
    <cellStyle name="Normal 3 40" xfId="1402"/>
    <cellStyle name="Normal 3 41" xfId="1420"/>
    <cellStyle name="Normal 3 42" xfId="1002"/>
    <cellStyle name="Normal 3 43" xfId="783"/>
    <cellStyle name="Normal 3 44" xfId="1541"/>
    <cellStyle name="Normal 3 45" xfId="1033"/>
    <cellStyle name="Normal 3 46" xfId="921"/>
    <cellStyle name="Normal 3 47" xfId="1399"/>
    <cellStyle name="Normal 3 48" xfId="1138"/>
    <cellStyle name="Normal 3 49" xfId="1574"/>
    <cellStyle name="Normal 3 5" xfId="736"/>
    <cellStyle name="Normal 3 50" xfId="1307"/>
    <cellStyle name="Normal 3 51" xfId="1560"/>
    <cellStyle name="Normal 3 52" xfId="1596"/>
    <cellStyle name="Normal 3 53" xfId="1614"/>
    <cellStyle name="Normal 3 54" xfId="1630"/>
    <cellStyle name="Normal 3 55" xfId="1646"/>
    <cellStyle name="Normal 3 56" xfId="1662"/>
    <cellStyle name="Normal 3 57" xfId="1678"/>
    <cellStyle name="Normal 3 58" xfId="1694"/>
    <cellStyle name="Normal 3 59" xfId="1710"/>
    <cellStyle name="Normal 3 6" xfId="674"/>
    <cellStyle name="Normal 3 60" xfId="1725"/>
    <cellStyle name="Normal 3 61" xfId="1740"/>
    <cellStyle name="Normal 3 62" xfId="1755"/>
    <cellStyle name="Normal 3 63" xfId="1770"/>
    <cellStyle name="Normal 3 64" xfId="1785"/>
    <cellStyle name="Normal 3 65" xfId="1800"/>
    <cellStyle name="Normal 3 66" xfId="1815"/>
    <cellStyle name="Normal 3 67" xfId="1830"/>
    <cellStyle name="Normal 3 68" xfId="1845"/>
    <cellStyle name="Normal 3 69" xfId="1860"/>
    <cellStyle name="Normal 3 7" xfId="587"/>
    <cellStyle name="Normal 3 70" xfId="1875"/>
    <cellStyle name="Normal 3 71" xfId="1889"/>
    <cellStyle name="Normal 3 72" xfId="1902"/>
    <cellStyle name="Normal 3 73" xfId="1915"/>
    <cellStyle name="Normal 3 74" xfId="1928"/>
    <cellStyle name="Normal 3 75" xfId="1940"/>
    <cellStyle name="Normal 3 76" xfId="1952"/>
    <cellStyle name="Normal 3 77" xfId="1964"/>
    <cellStyle name="Normal 3 78" xfId="1976"/>
    <cellStyle name="Normal 3 79" xfId="1988"/>
    <cellStyle name="Normal 3 8" xfId="657"/>
    <cellStyle name="Normal 3 80" xfId="2000"/>
    <cellStyle name="Normal 3 81" xfId="2012"/>
    <cellStyle name="Normal 3 82" xfId="2024"/>
    <cellStyle name="Normal 3 83" xfId="2036"/>
    <cellStyle name="Normal 3 84" xfId="2048"/>
    <cellStyle name="Normal 3 85" xfId="2060"/>
    <cellStyle name="Normal 3 86" xfId="2072"/>
    <cellStyle name="Normal 3 87" xfId="2084"/>
    <cellStyle name="Normal 3 88" xfId="2095"/>
    <cellStyle name="Normal 3 89" xfId="2105"/>
    <cellStyle name="Normal 3 9" xfId="812"/>
    <cellStyle name="Normal 3 90" xfId="2115"/>
    <cellStyle name="Normal 30" xfId="472"/>
    <cellStyle name="Normal 30 10" xfId="856"/>
    <cellStyle name="Normal 30 11" xfId="816"/>
    <cellStyle name="Normal 30 12" xfId="546"/>
    <cellStyle name="Normal 30 13" xfId="751"/>
    <cellStyle name="Normal 30 14" xfId="777"/>
    <cellStyle name="Normal 30 15" xfId="833"/>
    <cellStyle name="Normal 30 16" xfId="739"/>
    <cellStyle name="Normal 30 17" xfId="634"/>
    <cellStyle name="Normal 30 18" xfId="762"/>
    <cellStyle name="Normal 30 19" xfId="638"/>
    <cellStyle name="Normal 30 2" xfId="531"/>
    <cellStyle name="Normal 30 20" xfId="861"/>
    <cellStyle name="Normal 30 21" xfId="1166"/>
    <cellStyle name="Normal 30 22" xfId="897"/>
    <cellStyle name="Normal 30 23" xfId="555"/>
    <cellStyle name="Normal 30 24" xfId="773"/>
    <cellStyle name="Normal 30 25" xfId="630"/>
    <cellStyle name="Normal 30 26" xfId="537"/>
    <cellStyle name="Normal 30 27" xfId="895"/>
    <cellStyle name="Normal 30 28" xfId="810"/>
    <cellStyle name="Normal 30 29" xfId="1184"/>
    <cellStyle name="Normal 30 3" xfId="868"/>
    <cellStyle name="Normal 30 30" xfId="873"/>
    <cellStyle name="Normal 30 31" xfId="659"/>
    <cellStyle name="Normal 30 32" xfId="966"/>
    <cellStyle name="Normal 30 33" xfId="794"/>
    <cellStyle name="Normal 30 34" xfId="1026"/>
    <cellStyle name="Normal 30 35" xfId="1065"/>
    <cellStyle name="Normal 30 36" xfId="1020"/>
    <cellStyle name="Normal 30 37" xfId="692"/>
    <cellStyle name="Normal 30 38" xfId="642"/>
    <cellStyle name="Normal 30 39" xfId="1165"/>
    <cellStyle name="Normal 30 4" xfId="684"/>
    <cellStyle name="Normal 30 40" xfId="891"/>
    <cellStyle name="Normal 30 41" xfId="1206"/>
    <cellStyle name="Normal 30 42" xfId="911"/>
    <cellStyle name="Normal 30 43" xfId="1455"/>
    <cellStyle name="Normal 30 44" xfId="1081"/>
    <cellStyle name="Normal 30 45" xfId="1367"/>
    <cellStyle name="Normal 30 46" xfId="1480"/>
    <cellStyle name="Normal 30 47" xfId="1317"/>
    <cellStyle name="Normal 30 48" xfId="1218"/>
    <cellStyle name="Normal 30 49" xfId="1304"/>
    <cellStyle name="Normal 30 5" xfId="862"/>
    <cellStyle name="Normal 30 50" xfId="1045"/>
    <cellStyle name="Normal 30 51" xfId="750"/>
    <cellStyle name="Normal 30 52" xfId="1473"/>
    <cellStyle name="Normal 30 53" xfId="1435"/>
    <cellStyle name="Normal 30 54" xfId="906"/>
    <cellStyle name="Normal 30 55" xfId="522"/>
    <cellStyle name="Normal 30 56" xfId="1532"/>
    <cellStyle name="Normal 30 57" xfId="1392"/>
    <cellStyle name="Normal 30 58" xfId="560"/>
    <cellStyle name="Normal 30 59" xfId="1070"/>
    <cellStyle name="Normal 30 6" xfId="709"/>
    <cellStyle name="Normal 30 60" xfId="673"/>
    <cellStyle name="Normal 30 61" xfId="1239"/>
    <cellStyle name="Normal 30 62" xfId="1573"/>
    <cellStyle name="Normal 30 63" xfId="1544"/>
    <cellStyle name="Normal 30 64" xfId="1326"/>
    <cellStyle name="Normal 30 65" xfId="1130"/>
    <cellStyle name="Normal 30 66" xfId="1114"/>
    <cellStyle name="Normal 30 67" xfId="1511"/>
    <cellStyle name="Normal 30 68" xfId="665"/>
    <cellStyle name="Normal 30 69" xfId="1088"/>
    <cellStyle name="Normal 30 7" xfId="597"/>
    <cellStyle name="Normal 30 70" xfId="1047"/>
    <cellStyle name="Normal 30 71" xfId="1463"/>
    <cellStyle name="Normal 30 72" xfId="1383"/>
    <cellStyle name="Normal 30 73" xfId="631"/>
    <cellStyle name="Normal 30 74" xfId="1421"/>
    <cellStyle name="Normal 30 75" xfId="1598"/>
    <cellStyle name="Normal 30 76" xfId="1343"/>
    <cellStyle name="Normal 30 77" xfId="1451"/>
    <cellStyle name="Normal 30 78" xfId="581"/>
    <cellStyle name="Normal 30 79" xfId="1193"/>
    <cellStyle name="Normal 30 8" xfId="621"/>
    <cellStyle name="Normal 30 80" xfId="619"/>
    <cellStyle name="Normal 30 81" xfId="554"/>
    <cellStyle name="Normal 30 82" xfId="1428"/>
    <cellStyle name="Normal 30 83" xfId="1087"/>
    <cellStyle name="Normal 30 84" xfId="1295"/>
    <cellStyle name="Normal 30 85" xfId="1471"/>
    <cellStyle name="Normal 30 86" xfId="1332"/>
    <cellStyle name="Normal 30 87" xfId="1124"/>
    <cellStyle name="Normal 30 88" xfId="1393"/>
    <cellStyle name="Normal 30 89" xfId="663"/>
    <cellStyle name="Normal 30 9" xfId="827"/>
    <cellStyle name="Normal 30 90" xfId="1593"/>
    <cellStyle name="Normal 31" xfId="468"/>
    <cellStyle name="Normal 32" xfId="469"/>
    <cellStyle name="Normal 33" xfId="2199"/>
    <cellStyle name="Normal 34" xfId="2216"/>
    <cellStyle name="Normal 35" xfId="2193"/>
    <cellStyle name="Normal 36" xfId="477"/>
    <cellStyle name="Normal 37" xfId="2187"/>
    <cellStyle name="Normal 38" xfId="2211"/>
    <cellStyle name="Normal 39" xfId="2206"/>
    <cellStyle name="Normal 4" xfId="443"/>
    <cellStyle name="Normal 40" xfId="2214"/>
    <cellStyle name="Normal 5" xfId="444"/>
    <cellStyle name="Normal 6" xfId="445"/>
    <cellStyle name="Normal 7" xfId="446"/>
    <cellStyle name="Normal 8" xfId="447"/>
    <cellStyle name="Normal 9" xfId="448"/>
    <cellStyle name="Note" xfId="15" builtinId="10" customBuiltin="1"/>
    <cellStyle name="Note 2" xfId="474"/>
    <cellStyle name="Note 2 10" xfId="857"/>
    <cellStyle name="Note 2 11" xfId="785"/>
    <cellStyle name="Note 2 12" xfId="730"/>
    <cellStyle name="Note 2 13" xfId="698"/>
    <cellStyle name="Note 2 14" xfId="731"/>
    <cellStyle name="Note 2 15" xfId="748"/>
    <cellStyle name="Note 2 16" xfId="640"/>
    <cellStyle name="Note 2 17" xfId="695"/>
    <cellStyle name="Note 2 18" xfId="759"/>
    <cellStyle name="Note 2 19" xfId="701"/>
    <cellStyle name="Note 2 2" xfId="533"/>
    <cellStyle name="Note 2 20" xfId="994"/>
    <cellStyle name="Note 2 21" xfId="1071"/>
    <cellStyle name="Note 2 22" xfId="831"/>
    <cellStyle name="Note 2 23" xfId="1168"/>
    <cellStyle name="Note 2 24" xfId="985"/>
    <cellStyle name="Note 2 25" xfId="649"/>
    <cellStyle name="Note 2 26" xfId="896"/>
    <cellStyle name="Note 2 27" xfId="685"/>
    <cellStyle name="Note 2 28" xfId="508"/>
    <cellStyle name="Note 2 29" xfId="769"/>
    <cellStyle name="Note 2 3" xfId="865"/>
    <cellStyle name="Note 2 30" xfId="999"/>
    <cellStyle name="Note 2 31" xfId="805"/>
    <cellStyle name="Note 2 32" xfId="1106"/>
    <cellStyle name="Note 2 33" xfId="1051"/>
    <cellStyle name="Note 2 34" xfId="672"/>
    <cellStyle name="Note 2 35" xfId="1172"/>
    <cellStyle name="Note 2 36" xfId="551"/>
    <cellStyle name="Note 2 37" xfId="624"/>
    <cellStyle name="Note 2 38" xfId="880"/>
    <cellStyle name="Note 2 39" xfId="662"/>
    <cellStyle name="Note 2 4" xfId="740"/>
    <cellStyle name="Note 2 40" xfId="723"/>
    <cellStyle name="Note 2 41" xfId="1103"/>
    <cellStyle name="Note 2 42" xfId="1015"/>
    <cellStyle name="Note 2 43" xfId="881"/>
    <cellStyle name="Note 2 44" xfId="500"/>
    <cellStyle name="Note 2 45" xfId="1160"/>
    <cellStyle name="Note 2 46" xfId="1098"/>
    <cellStyle name="Note 2 47" xfId="1370"/>
    <cellStyle name="Note 2 48" xfId="1489"/>
    <cellStyle name="Note 2 49" xfId="1497"/>
    <cellStyle name="Note 2 5" xfId="545"/>
    <cellStyle name="Note 2 50" xfId="1137"/>
    <cellStyle name="Note 2 51" xfId="1276"/>
    <cellStyle name="Note 2 52" xfId="1207"/>
    <cellStyle name="Note 2 53" xfId="1545"/>
    <cellStyle name="Note 2 54" xfId="1294"/>
    <cellStyle name="Note 2 55" xfId="668"/>
    <cellStyle name="Note 2 56" xfId="1154"/>
    <cellStyle name="Note 2 57" xfId="1504"/>
    <cellStyle name="Note 2 58" xfId="1225"/>
    <cellStyle name="Note 2 59" xfId="961"/>
    <cellStyle name="Note 2 6" xfId="752"/>
    <cellStyle name="Note 2 60" xfId="704"/>
    <cellStyle name="Note 2 61" xfId="1519"/>
    <cellStyle name="Note 2 62" xfId="1453"/>
    <cellStyle name="Note 2 63" xfId="737"/>
    <cellStyle name="Note 2 64" xfId="493"/>
    <cellStyle name="Note 2 65" xfId="517"/>
    <cellStyle name="Note 2 66" xfId="1089"/>
    <cellStyle name="Note 2 67" xfId="1490"/>
    <cellStyle name="Note 2 68" xfId="615"/>
    <cellStyle name="Note 2 69" xfId="1400"/>
    <cellStyle name="Note 2 7" xfId="755"/>
    <cellStyle name="Note 2 70" xfId="606"/>
    <cellStyle name="Note 2 71" xfId="1267"/>
    <cellStyle name="Note 2 72" xfId="705"/>
    <cellStyle name="Note 2 73" xfId="1470"/>
    <cellStyle name="Note 2 74" xfId="1173"/>
    <cellStyle name="Note 2 75" xfId="543"/>
    <cellStyle name="Note 2 76" xfId="589"/>
    <cellStyle name="Note 2 77" xfId="741"/>
    <cellStyle name="Note 2 78" xfId="1430"/>
    <cellStyle name="Note 2 79" xfId="1547"/>
    <cellStyle name="Note 2 8" xfId="734"/>
    <cellStyle name="Note 2 80" xfId="874"/>
    <cellStyle name="Note 2 81" xfId="1501"/>
    <cellStyle name="Note 2 82" xfId="1531"/>
    <cellStyle name="Note 2 83" xfId="1581"/>
    <cellStyle name="Note 2 84" xfId="1009"/>
    <cellStyle name="Note 2 85" xfId="1062"/>
    <cellStyle name="Note 2 86" xfId="807"/>
    <cellStyle name="Note 2 87" xfId="738"/>
    <cellStyle name="Note 2 88" xfId="1277"/>
    <cellStyle name="Note 2 89" xfId="992"/>
    <cellStyle name="Note 2 9" xfId="689"/>
    <cellStyle name="Note 2 90" xfId="1028"/>
    <cellStyle name="Note 3" xfId="471"/>
    <cellStyle name="Note 3 10" xfId="556"/>
    <cellStyle name="Note 3 11" xfId="902"/>
    <cellStyle name="Note 3 12" xfId="498"/>
    <cellStyle name="Note 3 13" xfId="910"/>
    <cellStyle name="Note 3 14" xfId="511"/>
    <cellStyle name="Note 3 15" xfId="538"/>
    <cellStyle name="Note 3 16" xfId="828"/>
    <cellStyle name="Note 3 17" xfId="823"/>
    <cellStyle name="Note 3 18" xfId="791"/>
    <cellStyle name="Note 3 19" xfId="681"/>
    <cellStyle name="Note 3 2" xfId="530"/>
    <cellStyle name="Note 3 20" xfId="713"/>
    <cellStyle name="Note 3 21" xfId="760"/>
    <cellStyle name="Note 3 22" xfId="504"/>
    <cellStyle name="Note 3 23" xfId="1132"/>
    <cellStyle name="Note 3 24" xfId="1107"/>
    <cellStyle name="Note 3 25" xfId="899"/>
    <cellStyle name="Note 3 26" xfId="722"/>
    <cellStyle name="Note 3 27" xfId="628"/>
    <cellStyle name="Note 3 28" xfId="943"/>
    <cellStyle name="Note 3 29" xfId="1182"/>
    <cellStyle name="Note 3 3" xfId="852"/>
    <cellStyle name="Note 3 30" xfId="1224"/>
    <cellStyle name="Note 3 31" xfId="846"/>
    <cellStyle name="Note 3 32" xfId="644"/>
    <cellStyle name="Note 3 33" xfId="809"/>
    <cellStyle name="Note 3 34" xfId="707"/>
    <cellStyle name="Note 3 35" xfId="1010"/>
    <cellStyle name="Note 3 36" xfId="940"/>
    <cellStyle name="Note 3 37" xfId="604"/>
    <cellStyle name="Note 3 38" xfId="1105"/>
    <cellStyle name="Note 3 39" xfId="836"/>
    <cellStyle name="Note 3 4" xfId="799"/>
    <cellStyle name="Note 3 40" xfId="693"/>
    <cellStyle name="Note 3 41" xfId="1147"/>
    <cellStyle name="Note 3 42" xfId="726"/>
    <cellStyle name="Note 3 43" xfId="814"/>
    <cellStyle name="Note 3 44" xfId="682"/>
    <cellStyle name="Note 3 45" xfId="1286"/>
    <cellStyle name="Note 3 46" xfId="1335"/>
    <cellStyle name="Note 3 47" xfId="926"/>
    <cellStyle name="Note 3 48" xfId="884"/>
    <cellStyle name="Note 3 49" xfId="1079"/>
    <cellStyle name="Note 3 5" xfId="629"/>
    <cellStyle name="Note 3 50" xfId="1466"/>
    <cellStyle name="Note 3 51" xfId="1578"/>
    <cellStyle name="Note 3 52" xfId="1348"/>
    <cellStyle name="Note 3 53" xfId="1229"/>
    <cellStyle name="Note 3 54" xfId="1600"/>
    <cellStyle name="Note 3 55" xfId="1530"/>
    <cellStyle name="Note 3 56" xfId="771"/>
    <cellStyle name="Note 3 57" xfId="720"/>
    <cellStyle name="Note 3 58" xfId="643"/>
    <cellStyle name="Note 3 59" xfId="982"/>
    <cellStyle name="Note 3 6" xfId="572"/>
    <cellStyle name="Note 3 60" xfId="1516"/>
    <cellStyle name="Note 3 61" xfId="944"/>
    <cellStyle name="Note 3 62" xfId="1558"/>
    <cellStyle name="Note 3 63" xfId="1289"/>
    <cellStyle name="Note 3 64" xfId="991"/>
    <cellStyle name="Note 3 65" xfId="1488"/>
    <cellStyle name="Note 3 66" xfId="1188"/>
    <cellStyle name="Note 3 67" xfId="1120"/>
    <cellStyle name="Note 3 68" xfId="1588"/>
    <cellStyle name="Note 3 69" xfId="1608"/>
    <cellStyle name="Note 3 7" xfId="834"/>
    <cellStyle name="Note 3 70" xfId="1624"/>
    <cellStyle name="Note 3 71" xfId="1640"/>
    <cellStyle name="Note 3 72" xfId="1656"/>
    <cellStyle name="Note 3 73" xfId="1672"/>
    <cellStyle name="Note 3 74" xfId="1688"/>
    <cellStyle name="Note 3 75" xfId="1704"/>
    <cellStyle name="Note 3 76" xfId="1719"/>
    <cellStyle name="Note 3 77" xfId="1734"/>
    <cellStyle name="Note 3 78" xfId="1749"/>
    <cellStyle name="Note 3 79" xfId="1764"/>
    <cellStyle name="Note 3 8" xfId="696"/>
    <cellStyle name="Note 3 80" xfId="1779"/>
    <cellStyle name="Note 3 81" xfId="1794"/>
    <cellStyle name="Note 3 82" xfId="1809"/>
    <cellStyle name="Note 3 83" xfId="1824"/>
    <cellStyle name="Note 3 84" xfId="1839"/>
    <cellStyle name="Note 3 85" xfId="1854"/>
    <cellStyle name="Note 3 86" xfId="1869"/>
    <cellStyle name="Note 3 87" xfId="1884"/>
    <cellStyle name="Note 3 88" xfId="1897"/>
    <cellStyle name="Note 3 89" xfId="1910"/>
    <cellStyle name="Note 3 9" xfId="729"/>
    <cellStyle name="Note 3 90" xfId="1923"/>
    <cellStyle name="Note 4" xfId="492"/>
    <cellStyle name="Note 4 10" xfId="1077"/>
    <cellStyle name="Note 4 11" xfId="1095"/>
    <cellStyle name="Note 4 12" xfId="1111"/>
    <cellStyle name="Note 4 13" xfId="1128"/>
    <cellStyle name="Note 4 14" xfId="1145"/>
    <cellStyle name="Note 4 15" xfId="1164"/>
    <cellStyle name="Note 4 16" xfId="1181"/>
    <cellStyle name="Note 4 17" xfId="1198"/>
    <cellStyle name="Note 4 18" xfId="1212"/>
    <cellStyle name="Note 4 19" xfId="1228"/>
    <cellStyle name="Note 4 2" xfId="933"/>
    <cellStyle name="Note 4 20" xfId="1249"/>
    <cellStyle name="Note 4 21" xfId="1265"/>
    <cellStyle name="Note 4 22" xfId="1284"/>
    <cellStyle name="Note 4 23" xfId="1302"/>
    <cellStyle name="Note 4 24" xfId="1321"/>
    <cellStyle name="Note 4 25" xfId="1339"/>
    <cellStyle name="Note 4 26" xfId="1356"/>
    <cellStyle name="Note 4 27" xfId="1374"/>
    <cellStyle name="Note 4 28" xfId="1390"/>
    <cellStyle name="Note 4 29" xfId="1407"/>
    <cellStyle name="Note 4 3" xfId="952"/>
    <cellStyle name="Note 4 30" xfId="1425"/>
    <cellStyle name="Note 4 31" xfId="1443"/>
    <cellStyle name="Note 4 32" xfId="1460"/>
    <cellStyle name="Note 4 33" xfId="1478"/>
    <cellStyle name="Note 4 34" xfId="1494"/>
    <cellStyle name="Note 4 35" xfId="1508"/>
    <cellStyle name="Note 4 36" xfId="1523"/>
    <cellStyle name="Note 4 37" xfId="1538"/>
    <cellStyle name="Note 4 38" xfId="1554"/>
    <cellStyle name="Note 4 39" xfId="1569"/>
    <cellStyle name="Note 4 4" xfId="970"/>
    <cellStyle name="Note 4 40" xfId="1585"/>
    <cellStyle name="Note 4 41" xfId="1602"/>
    <cellStyle name="Note 4 42" xfId="1619"/>
    <cellStyle name="Note 4 43" xfId="1635"/>
    <cellStyle name="Note 4 44" xfId="1651"/>
    <cellStyle name="Note 4 45" xfId="1667"/>
    <cellStyle name="Note 4 46" xfId="1683"/>
    <cellStyle name="Note 4 47" xfId="1699"/>
    <cellStyle name="Note 4 48" xfId="1715"/>
    <cellStyle name="Note 4 49" xfId="1730"/>
    <cellStyle name="Note 4 5" xfId="989"/>
    <cellStyle name="Note 4 50" xfId="1745"/>
    <cellStyle name="Note 4 51" xfId="1760"/>
    <cellStyle name="Note 4 52" xfId="1775"/>
    <cellStyle name="Note 4 53" xfId="1790"/>
    <cellStyle name="Note 4 54" xfId="1805"/>
    <cellStyle name="Note 4 55" xfId="1820"/>
    <cellStyle name="Note 4 56" xfId="1835"/>
    <cellStyle name="Note 4 57" xfId="1850"/>
    <cellStyle name="Note 4 58" xfId="1865"/>
    <cellStyle name="Note 4 59" xfId="1880"/>
    <cellStyle name="Note 4 6" xfId="1006"/>
    <cellStyle name="Note 4 60" xfId="1893"/>
    <cellStyle name="Note 4 61" xfId="1906"/>
    <cellStyle name="Note 4 62" xfId="1919"/>
    <cellStyle name="Note 4 63" xfId="1932"/>
    <cellStyle name="Note 4 64" xfId="1944"/>
    <cellStyle name="Note 4 65" xfId="1956"/>
    <cellStyle name="Note 4 66" xfId="1968"/>
    <cellStyle name="Note 4 67" xfId="1980"/>
    <cellStyle name="Note 4 68" xfId="1992"/>
    <cellStyle name="Note 4 69" xfId="2004"/>
    <cellStyle name="Note 4 7" xfId="1024"/>
    <cellStyle name="Note 4 70" xfId="2016"/>
    <cellStyle name="Note 4 71" xfId="2028"/>
    <cellStyle name="Note 4 72" xfId="2040"/>
    <cellStyle name="Note 4 73" xfId="2052"/>
    <cellStyle name="Note 4 74" xfId="2064"/>
    <cellStyle name="Note 4 75" xfId="2076"/>
    <cellStyle name="Note 4 76" xfId="2088"/>
    <cellStyle name="Note 4 77" xfId="2099"/>
    <cellStyle name="Note 4 78" xfId="2109"/>
    <cellStyle name="Note 4 79" xfId="2119"/>
    <cellStyle name="Note 4 8" xfId="1041"/>
    <cellStyle name="Note 4 80" xfId="2127"/>
    <cellStyle name="Note 4 81" xfId="2134"/>
    <cellStyle name="Note 4 82" xfId="2141"/>
    <cellStyle name="Note 4 83" xfId="2148"/>
    <cellStyle name="Note 4 84" xfId="2155"/>
    <cellStyle name="Note 4 85" xfId="2162"/>
    <cellStyle name="Note 4 86" xfId="2167"/>
    <cellStyle name="Note 4 87" xfId="2172"/>
    <cellStyle name="Note 4 88" xfId="2177"/>
    <cellStyle name="Note 4 89" xfId="2182"/>
    <cellStyle name="Note 4 9" xfId="1059"/>
    <cellStyle name="Note 4 90" xfId="2183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67"/>
  <sheetViews>
    <sheetView tabSelected="1" topLeftCell="A85" workbookViewId="0">
      <selection activeCell="I1" sqref="I1:X1048576"/>
    </sheetView>
  </sheetViews>
  <sheetFormatPr defaultRowHeight="15"/>
  <cols>
    <col min="1" max="1" width="11.5703125" bestFit="1" customWidth="1"/>
    <col min="2" max="2" width="8.85546875" bestFit="1" customWidth="1"/>
    <col min="3" max="4" width="22.42578125" bestFit="1" customWidth="1"/>
    <col min="5" max="6" width="12.42578125" bestFit="1" customWidth="1"/>
    <col min="7" max="7" width="11.42578125" customWidth="1"/>
    <col min="8" max="8" width="9.140625" customWidth="1"/>
    <col min="9" max="9" width="15.5703125" customWidth="1"/>
    <col min="10" max="10" width="11.85546875" customWidth="1"/>
    <col min="24" max="24" width="12.5703125" customWidth="1"/>
    <col min="25" max="25" width="14" style="345" customWidth="1"/>
  </cols>
  <sheetData>
    <row r="1" spans="9:24">
      <c r="I1" s="343" t="s">
        <v>28</v>
      </c>
      <c r="J1" s="343"/>
      <c r="K1" s="343"/>
      <c r="L1" s="343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163"/>
    </row>
    <row r="2" spans="9:24">
      <c r="I2" s="379"/>
      <c r="J2" s="364" t="s">
        <v>31</v>
      </c>
      <c r="K2" s="364" t="s">
        <v>32</v>
      </c>
      <c r="L2" s="364" t="s">
        <v>33</v>
      </c>
      <c r="M2" s="364" t="s">
        <v>34</v>
      </c>
      <c r="N2" s="364" t="s">
        <v>35</v>
      </c>
      <c r="O2" s="364" t="s">
        <v>36</v>
      </c>
      <c r="P2" s="364" t="s">
        <v>37</v>
      </c>
      <c r="Q2" s="364" t="s">
        <v>38</v>
      </c>
      <c r="R2" s="364" t="s">
        <v>39</v>
      </c>
      <c r="S2" s="364" t="s">
        <v>40</v>
      </c>
      <c r="T2" s="364" t="s">
        <v>41</v>
      </c>
      <c r="U2" s="364" t="s">
        <v>42</v>
      </c>
      <c r="V2" s="364" t="s">
        <v>43</v>
      </c>
      <c r="W2" s="364" t="s">
        <v>44</v>
      </c>
      <c r="X2" s="187" t="s">
        <v>103</v>
      </c>
    </row>
    <row r="3" spans="9:24">
      <c r="I3" s="363"/>
      <c r="J3" s="365">
        <v>7534810685</v>
      </c>
      <c r="K3" s="372" t="s">
        <v>45</v>
      </c>
      <c r="L3" s="367">
        <v>413.97849462365593</v>
      </c>
      <c r="M3" s="367">
        <v>577.38095238095229</v>
      </c>
      <c r="N3" s="367">
        <v>548.38709677419354</v>
      </c>
      <c r="O3" s="367">
        <v>555.55555555555554</v>
      </c>
      <c r="P3" s="367">
        <v>564.51612903225794</v>
      </c>
      <c r="Q3" s="367">
        <v>438.88888888888886</v>
      </c>
      <c r="R3" s="367">
        <v>446.23655913978496</v>
      </c>
      <c r="S3" s="367">
        <v>456.98924731182802</v>
      </c>
      <c r="T3" s="367">
        <v>516.66666666666663</v>
      </c>
      <c r="U3" s="367">
        <v>456.98924731182797</v>
      </c>
      <c r="V3" s="367">
        <v>427.77777777777777</v>
      </c>
      <c r="W3" s="367">
        <v>446.2365591397849</v>
      </c>
      <c r="X3" s="185">
        <v>487.46693121693119</v>
      </c>
    </row>
    <row r="4" spans="9:24">
      <c r="I4" s="363"/>
      <c r="J4" s="365">
        <v>4366050935</v>
      </c>
      <c r="K4" s="372" t="s">
        <v>46</v>
      </c>
      <c r="L4" s="367">
        <v>188.17204301075273</v>
      </c>
      <c r="M4" s="367">
        <v>1166.6666666666667</v>
      </c>
      <c r="N4" s="367">
        <v>1026.8817204301076</v>
      </c>
      <c r="O4" s="367">
        <v>1077.7777777777778</v>
      </c>
      <c r="P4" s="367">
        <v>612.90322580645159</v>
      </c>
      <c r="Q4" s="367">
        <v>138.88888888888889</v>
      </c>
      <c r="R4" s="367">
        <v>247.31182795698922</v>
      </c>
      <c r="S4" s="367">
        <v>263.44086021505376</v>
      </c>
      <c r="T4" s="367">
        <v>1233.3333333333333</v>
      </c>
      <c r="U4" s="367">
        <v>1139.7849462365591</v>
      </c>
      <c r="V4" s="367">
        <v>1244.4444444444443</v>
      </c>
      <c r="W4" s="367">
        <v>1408.6021505376345</v>
      </c>
      <c r="X4" s="185">
        <v>812.35065710872152</v>
      </c>
    </row>
    <row r="5" spans="9:24">
      <c r="I5" s="363"/>
      <c r="J5" s="365">
        <v>6366050937</v>
      </c>
      <c r="K5" s="372" t="s">
        <v>47</v>
      </c>
      <c r="L5" s="367">
        <v>139.78494623655914</v>
      </c>
      <c r="M5" s="367">
        <v>1071.4285714285716</v>
      </c>
      <c r="N5" s="367">
        <v>822.58064516129025</v>
      </c>
      <c r="O5" s="367">
        <v>944.44444444444434</v>
      </c>
      <c r="P5" s="367">
        <v>951.61290322580646</v>
      </c>
      <c r="Q5" s="367">
        <v>1183.3333333333333</v>
      </c>
      <c r="R5" s="367">
        <v>365.59139784946234</v>
      </c>
      <c r="S5" s="367">
        <v>172.04301075268816</v>
      </c>
      <c r="T5" s="367">
        <v>900</v>
      </c>
      <c r="U5" s="367">
        <v>1150.5376344086023</v>
      </c>
      <c r="V5" s="367">
        <v>1077.7777777777776</v>
      </c>
      <c r="W5" s="367">
        <v>736.55913978494618</v>
      </c>
      <c r="X5" s="185">
        <v>792.97448370029008</v>
      </c>
    </row>
    <row r="6" spans="9:24">
      <c r="I6" s="363"/>
      <c r="J6" s="365">
        <v>7366050938</v>
      </c>
      <c r="K6" s="372" t="s">
        <v>48</v>
      </c>
      <c r="L6" s="367">
        <v>881.72043010752679</v>
      </c>
      <c r="M6" s="367">
        <v>1333.3333333333333</v>
      </c>
      <c r="N6" s="367">
        <v>1236.5591397849462</v>
      </c>
      <c r="O6" s="367">
        <v>1116.6666666666667</v>
      </c>
      <c r="P6" s="367">
        <v>1043.010752688172</v>
      </c>
      <c r="Q6" s="367">
        <v>894.44444444444434</v>
      </c>
      <c r="R6" s="367">
        <v>1075.2688172043011</v>
      </c>
      <c r="S6" s="367">
        <v>1413.9784946236559</v>
      </c>
      <c r="T6" s="367">
        <v>1505.5555555555557</v>
      </c>
      <c r="U6" s="367">
        <v>1424.7311827956989</v>
      </c>
      <c r="V6" s="367">
        <v>1277.7777777777776</v>
      </c>
      <c r="W6" s="367">
        <v>1096.7741935483871</v>
      </c>
      <c r="X6" s="185">
        <v>1191.6517323775386</v>
      </c>
    </row>
    <row r="7" spans="9:24">
      <c r="I7" s="363"/>
      <c r="J7" s="365">
        <v>3366050934</v>
      </c>
      <c r="K7" s="372" t="s">
        <v>49</v>
      </c>
      <c r="L7" s="367">
        <v>3032.2580645161288</v>
      </c>
      <c r="M7" s="367">
        <v>6428.5714285714284</v>
      </c>
      <c r="N7" s="367">
        <v>6198.9247311827967</v>
      </c>
      <c r="O7" s="367">
        <v>6266.666666666667</v>
      </c>
      <c r="P7" s="367">
        <v>5086.0215053763441</v>
      </c>
      <c r="Q7" s="367">
        <v>2527.7777777777778</v>
      </c>
      <c r="R7" s="367">
        <v>1252.6881720430108</v>
      </c>
      <c r="S7" s="367">
        <v>1381.7204301075269</v>
      </c>
      <c r="T7" s="367">
        <v>4222.2222222222226</v>
      </c>
      <c r="U7" s="367">
        <v>4849.4623655913974</v>
      </c>
      <c r="V7" s="367">
        <v>5461.1111111111104</v>
      </c>
      <c r="W7" s="367">
        <v>3989.2473118279572</v>
      </c>
      <c r="X7" s="185">
        <v>4224.7226489161976</v>
      </c>
    </row>
    <row r="8" spans="9:24">
      <c r="I8" s="363"/>
      <c r="J8" s="365">
        <v>5581150299</v>
      </c>
      <c r="K8" s="372" t="s">
        <v>50</v>
      </c>
      <c r="L8" s="367">
        <v>2155.9139784946237</v>
      </c>
      <c r="M8" s="367">
        <v>5898.8095238095239</v>
      </c>
      <c r="N8" s="367">
        <v>5290.322580645161</v>
      </c>
      <c r="O8" s="367">
        <v>6061.1111111111122</v>
      </c>
      <c r="P8" s="367">
        <v>4994.6236559139788</v>
      </c>
      <c r="Q8" s="367">
        <v>2444.4444444444448</v>
      </c>
      <c r="R8" s="367">
        <v>2166.6666666666665</v>
      </c>
      <c r="S8" s="367">
        <v>3220.4301075268818</v>
      </c>
      <c r="T8" s="367">
        <v>6000</v>
      </c>
      <c r="U8" s="367">
        <v>6220.4301075268822</v>
      </c>
      <c r="V8" s="367">
        <v>5888.8888888888896</v>
      </c>
      <c r="W8" s="367">
        <v>4774.1935483870975</v>
      </c>
      <c r="X8" s="185">
        <v>4592.9862177846053</v>
      </c>
    </row>
    <row r="9" spans="9:24">
      <c r="I9" s="363"/>
      <c r="J9" s="365">
        <v>5366050936</v>
      </c>
      <c r="K9" s="372" t="s">
        <v>51</v>
      </c>
      <c r="L9" s="367">
        <v>790.32258064516134</v>
      </c>
      <c r="M9" s="367">
        <v>2154.761904761905</v>
      </c>
      <c r="N9" s="367">
        <v>924.73118279569883</v>
      </c>
      <c r="O9" s="367">
        <v>905.55555555555554</v>
      </c>
      <c r="P9" s="367">
        <v>822.58064516129036</v>
      </c>
      <c r="Q9" s="367">
        <v>333.33333333333337</v>
      </c>
      <c r="R9" s="367">
        <v>397.84946236559136</v>
      </c>
      <c r="S9" s="367">
        <v>645.16129032258061</v>
      </c>
      <c r="T9" s="367">
        <v>2033.3333333333337</v>
      </c>
      <c r="U9" s="367">
        <v>1559.1397849462364</v>
      </c>
      <c r="V9" s="367">
        <v>1488.8888888888887</v>
      </c>
      <c r="W9" s="367">
        <v>2290.322580645161</v>
      </c>
      <c r="X9" s="185">
        <v>1195.4983785628947</v>
      </c>
    </row>
    <row r="10" spans="9:24">
      <c r="I10" s="363"/>
      <c r="J10" s="365">
        <v>2052150585</v>
      </c>
      <c r="K10" s="372" t="s">
        <v>52</v>
      </c>
      <c r="L10" s="367">
        <v>3666.6666666666665</v>
      </c>
      <c r="M10" s="367">
        <v>8857.1428571428569</v>
      </c>
      <c r="N10" s="367">
        <v>7451.6129032258068</v>
      </c>
      <c r="O10" s="367">
        <v>8166.666666666667</v>
      </c>
      <c r="P10" s="367">
        <v>9150.5376344086017</v>
      </c>
      <c r="Q10" s="367">
        <v>7305.5555555555547</v>
      </c>
      <c r="R10" s="367">
        <v>10892.473118279571</v>
      </c>
      <c r="S10" s="367">
        <v>11602.150537634408</v>
      </c>
      <c r="T10" s="367">
        <v>16094.444444444445</v>
      </c>
      <c r="U10" s="367">
        <v>13354.838709677419</v>
      </c>
      <c r="V10" s="367">
        <v>8277.7777777777774</v>
      </c>
      <c r="W10" s="367">
        <v>5548.3870967741932</v>
      </c>
      <c r="X10" s="185">
        <v>9197.3544973544977</v>
      </c>
    </row>
    <row r="11" spans="9:24">
      <c r="I11" s="363"/>
      <c r="J11" s="365">
        <v>8635150066</v>
      </c>
      <c r="K11" s="372" t="s">
        <v>53</v>
      </c>
      <c r="L11" s="367">
        <v>134.40860215053763</v>
      </c>
      <c r="M11" s="367">
        <v>392.85714285714289</v>
      </c>
      <c r="N11" s="367">
        <v>241.93548387096772</v>
      </c>
      <c r="O11" s="367">
        <v>277.77777777777777</v>
      </c>
      <c r="P11" s="367">
        <v>392.47311827956992</v>
      </c>
      <c r="Q11" s="367">
        <v>288.88888888888891</v>
      </c>
      <c r="R11" s="367">
        <v>1123.6559139784947</v>
      </c>
      <c r="S11" s="367">
        <v>112.9032258064516</v>
      </c>
      <c r="T11" s="367">
        <v>694.44444444444434</v>
      </c>
      <c r="U11" s="367">
        <v>354.83870967741933</v>
      </c>
      <c r="V11" s="367">
        <v>350</v>
      </c>
      <c r="W11" s="367">
        <v>252.68817204301072</v>
      </c>
      <c r="X11" s="185">
        <v>384.73928998122551</v>
      </c>
    </row>
    <row r="12" spans="9:24">
      <c r="I12" s="363"/>
      <c r="J12" s="366">
        <v>6663150208</v>
      </c>
      <c r="K12" s="372" t="s">
        <v>54</v>
      </c>
      <c r="L12" s="367">
        <v>564.51612903225805</v>
      </c>
      <c r="M12" s="367">
        <v>892.857142857143</v>
      </c>
      <c r="N12" s="367">
        <v>768.81720430107532</v>
      </c>
      <c r="O12" s="367">
        <v>711.11111111111097</v>
      </c>
      <c r="P12" s="367">
        <v>655.91397849462362</v>
      </c>
      <c r="Q12" s="367">
        <v>361.11111111111109</v>
      </c>
      <c r="R12" s="367">
        <v>344.08602150537632</v>
      </c>
      <c r="S12" s="367">
        <v>413.97849462365588</v>
      </c>
      <c r="T12" s="367">
        <v>611.11111111111109</v>
      </c>
      <c r="U12" s="367">
        <v>838.70967741935476</v>
      </c>
      <c r="V12" s="367">
        <v>861.11111111111097</v>
      </c>
      <c r="W12" s="367">
        <v>779.56989247311822</v>
      </c>
      <c r="X12" s="185">
        <v>650.24108209592089</v>
      </c>
    </row>
    <row r="13" spans="9:24">
      <c r="I13" s="363"/>
      <c r="J13" s="365">
        <v>6068150813</v>
      </c>
      <c r="K13" s="372" t="s">
        <v>55</v>
      </c>
      <c r="L13" s="367">
        <v>306.45161290322579</v>
      </c>
      <c r="M13" s="367">
        <v>785.71428571428567</v>
      </c>
      <c r="N13" s="367">
        <v>602.15053763440858</v>
      </c>
      <c r="O13" s="367">
        <v>750</v>
      </c>
      <c r="P13" s="367">
        <v>2526.8817204301076</v>
      </c>
      <c r="Q13" s="367">
        <v>2977.7777777777778</v>
      </c>
      <c r="R13" s="367">
        <v>6908.6021505376348</v>
      </c>
      <c r="S13" s="367">
        <v>6064.5161290322576</v>
      </c>
      <c r="T13" s="367">
        <v>6477.7777777777783</v>
      </c>
      <c r="U13" s="367">
        <v>4645.1612903225805</v>
      </c>
      <c r="V13" s="367">
        <v>1811.1111111111111</v>
      </c>
      <c r="W13" s="367">
        <v>548.38709677419354</v>
      </c>
      <c r="X13" s="185">
        <v>2867.0442908346135</v>
      </c>
    </row>
    <row r="14" spans="9:24">
      <c r="I14" s="363"/>
      <c r="J14" s="366">
        <v>5068150812</v>
      </c>
      <c r="K14" s="372" t="s">
        <v>56</v>
      </c>
      <c r="L14" s="367">
        <v>145.16129032258064</v>
      </c>
      <c r="M14" s="367">
        <v>452.38095238095235</v>
      </c>
      <c r="N14" s="367">
        <v>349.46236559139783</v>
      </c>
      <c r="O14" s="367">
        <v>355.5555555555556</v>
      </c>
      <c r="P14" s="367">
        <v>263.44086021505376</v>
      </c>
      <c r="Q14" s="367">
        <v>172.22222222222226</v>
      </c>
      <c r="R14" s="367">
        <v>322.58064516129031</v>
      </c>
      <c r="S14" s="367">
        <v>360.21505376344084</v>
      </c>
      <c r="T14" s="367">
        <v>455.5555555555556</v>
      </c>
      <c r="U14" s="367">
        <v>462.36559139784953</v>
      </c>
      <c r="V14" s="367">
        <v>1105.5555555555554</v>
      </c>
      <c r="W14" s="367">
        <v>279.56989247311827</v>
      </c>
      <c r="X14" s="185">
        <v>393.67212834954779</v>
      </c>
    </row>
    <row r="15" spans="9:24">
      <c r="I15" s="363"/>
      <c r="J15" s="366">
        <v>2364150700</v>
      </c>
      <c r="K15" s="372" t="s">
        <v>57</v>
      </c>
      <c r="L15" s="367">
        <v>1032.258064516129</v>
      </c>
      <c r="M15" s="367">
        <v>1839.2857142857144</v>
      </c>
      <c r="N15" s="367">
        <v>1645.1612903225807</v>
      </c>
      <c r="O15" s="367">
        <v>1122.2222222222222</v>
      </c>
      <c r="P15" s="367">
        <v>1172.0430107526881</v>
      </c>
      <c r="Q15" s="367">
        <v>1027.7777777777776</v>
      </c>
      <c r="R15" s="367">
        <v>1139.7849462365591</v>
      </c>
      <c r="S15" s="367">
        <v>1274.1935483870968</v>
      </c>
      <c r="T15" s="367">
        <v>1883.333333333333</v>
      </c>
      <c r="U15" s="367">
        <v>1677.4193548387095</v>
      </c>
      <c r="V15" s="367">
        <v>1594.4444444444443</v>
      </c>
      <c r="W15" s="367">
        <v>1252.6881720430108</v>
      </c>
      <c r="X15" s="185">
        <v>1388.3843232633553</v>
      </c>
    </row>
    <row r="16" spans="9:24">
      <c r="I16" s="363"/>
      <c r="J16" s="366">
        <v>1364150699</v>
      </c>
      <c r="K16" s="372" t="s">
        <v>58</v>
      </c>
      <c r="L16" s="367">
        <v>543.01075268817215</v>
      </c>
      <c r="M16" s="367">
        <v>2863.0952380952381</v>
      </c>
      <c r="N16" s="367">
        <v>2134.4086021505373</v>
      </c>
      <c r="O16" s="367">
        <v>2116.6666666666665</v>
      </c>
      <c r="P16" s="367">
        <v>1736.5591397849464</v>
      </c>
      <c r="Q16" s="367">
        <v>1500</v>
      </c>
      <c r="R16" s="367">
        <v>3134.4086021505377</v>
      </c>
      <c r="S16" s="367">
        <v>3935.483870967742</v>
      </c>
      <c r="T16" s="367">
        <v>5750</v>
      </c>
      <c r="U16" s="367">
        <v>4392.4731182795695</v>
      </c>
      <c r="V16" s="367">
        <v>2783.3333333333335</v>
      </c>
      <c r="W16" s="367">
        <v>1747.3118279569896</v>
      </c>
      <c r="X16" s="185">
        <v>2719.7292626728108</v>
      </c>
    </row>
    <row r="17" spans="1:24">
      <c r="I17" s="363"/>
      <c r="J17" s="365">
        <v>2068150809</v>
      </c>
      <c r="K17" s="372">
        <v>429985</v>
      </c>
      <c r="L17" s="367">
        <v>5.376344086021505</v>
      </c>
      <c r="M17" s="367">
        <v>41.666666666666664</v>
      </c>
      <c r="N17" s="367">
        <v>69.892473118279568</v>
      </c>
      <c r="O17" s="367">
        <v>38.888888888888893</v>
      </c>
      <c r="P17" s="367">
        <v>43.01075268817204</v>
      </c>
      <c r="Q17" s="367">
        <v>16.666666666666668</v>
      </c>
      <c r="R17" s="367">
        <v>26.881720430107524</v>
      </c>
      <c r="S17" s="367">
        <v>26.881720430107524</v>
      </c>
      <c r="T17" s="367">
        <v>33.333333333333336</v>
      </c>
      <c r="U17" s="367">
        <v>37.634408602150536</v>
      </c>
      <c r="V17" s="367">
        <v>33.333333333333336</v>
      </c>
      <c r="W17" s="367">
        <v>32.258064516129032</v>
      </c>
      <c r="X17" s="185">
        <v>33.818697729988045</v>
      </c>
    </row>
    <row r="18" spans="1:24">
      <c r="I18" s="363"/>
      <c r="J18" s="365">
        <v>5756250297</v>
      </c>
      <c r="K18" s="371" t="s">
        <v>60</v>
      </c>
      <c r="L18" s="367">
        <v>2586.0215053763441</v>
      </c>
      <c r="M18" s="367">
        <v>4136.9047619047624</v>
      </c>
      <c r="N18" s="367">
        <v>3553.7634408602148</v>
      </c>
      <c r="O18" s="367">
        <v>4911.1111111111104</v>
      </c>
      <c r="P18" s="367">
        <v>4526.8817204301076</v>
      </c>
      <c r="Q18" s="367">
        <v>4394.4444444444443</v>
      </c>
      <c r="R18" s="367">
        <v>5983.8709677419356</v>
      </c>
      <c r="S18" s="367">
        <v>20215.053763440857</v>
      </c>
      <c r="T18" s="367">
        <v>14761.111111111111</v>
      </c>
      <c r="U18" s="367">
        <v>11500</v>
      </c>
      <c r="V18" s="367">
        <v>9055.5555555555566</v>
      </c>
      <c r="W18" s="367">
        <v>6758.0645161290313</v>
      </c>
      <c r="X18" s="185">
        <v>7698.5652415087898</v>
      </c>
    </row>
    <row r="19" spans="1:24">
      <c r="I19" s="363"/>
      <c r="J19" s="357">
        <v>1665911804</v>
      </c>
      <c r="K19" s="381" t="s">
        <v>61</v>
      </c>
      <c r="L19" s="195">
        <v>748.38709677419354</v>
      </c>
      <c r="M19" s="195">
        <v>2371.4285714285716</v>
      </c>
      <c r="N19" s="195">
        <v>2206.4516129032259</v>
      </c>
      <c r="O19" s="195">
        <v>2326.666666666667</v>
      </c>
      <c r="P19" s="195">
        <v>2374.1935483870971</v>
      </c>
      <c r="Q19" s="195">
        <v>2633.333333333333</v>
      </c>
      <c r="R19" s="195">
        <v>3277.4193548387098</v>
      </c>
      <c r="S19" s="195">
        <v>4083.8709677419347</v>
      </c>
      <c r="T19" s="195">
        <v>4873.3333333333339</v>
      </c>
      <c r="U19" s="195">
        <v>4367.7419354838712</v>
      </c>
      <c r="V19" s="195">
        <v>3300</v>
      </c>
      <c r="W19" s="195">
        <v>2541.9354838709678</v>
      </c>
      <c r="X19" s="185">
        <v>2925.3968253968255</v>
      </c>
    </row>
    <row r="20" spans="1:24">
      <c r="I20" s="363"/>
      <c r="J20" s="366">
        <v>3054467971</v>
      </c>
      <c r="K20" s="372" t="s">
        <v>62</v>
      </c>
      <c r="L20" s="195">
        <v>456.98924731182791</v>
      </c>
      <c r="M20" s="195">
        <v>934.52380952380952</v>
      </c>
      <c r="N20" s="195">
        <v>870.9677419354839</v>
      </c>
      <c r="O20" s="195">
        <v>805.55555555555554</v>
      </c>
      <c r="P20" s="195">
        <v>763.4408602150537</v>
      </c>
      <c r="Q20" s="195">
        <v>644.44444444444446</v>
      </c>
      <c r="R20" s="195">
        <v>763.44086021505382</v>
      </c>
      <c r="S20" s="195">
        <v>666.66666666666663</v>
      </c>
      <c r="T20" s="195">
        <v>883.33333333333337</v>
      </c>
      <c r="U20" s="195">
        <v>903.22580645161304</v>
      </c>
      <c r="V20" s="195">
        <v>1005.5555555555555</v>
      </c>
      <c r="W20" s="195">
        <v>747.3118279569893</v>
      </c>
      <c r="X20" s="185">
        <v>787.12130909711561</v>
      </c>
    </row>
    <row r="21" spans="1:24">
      <c r="I21" s="363"/>
      <c r="J21" s="357">
        <v>3380811569</v>
      </c>
      <c r="K21" s="381" t="s">
        <v>63</v>
      </c>
      <c r="L21" s="195">
        <v>0</v>
      </c>
      <c r="M21" s="195">
        <v>14.285714285714286</v>
      </c>
      <c r="N21" s="195">
        <v>12.903225806451612</v>
      </c>
      <c r="O21" s="195">
        <v>6.666666666666667</v>
      </c>
      <c r="P21" s="195">
        <v>12.903225806451612</v>
      </c>
      <c r="Q21" s="195">
        <v>6.666666666666667</v>
      </c>
      <c r="R21" s="195">
        <v>25.806451612903224</v>
      </c>
      <c r="S21" s="195">
        <v>6.4516129032258061</v>
      </c>
      <c r="T21" s="195">
        <v>13.333333333333334</v>
      </c>
      <c r="U21" s="195">
        <v>25.806451612903224</v>
      </c>
      <c r="V21" s="195">
        <v>20</v>
      </c>
      <c r="W21" s="195">
        <v>38.709677419354833</v>
      </c>
      <c r="X21" s="185">
        <v>15.294418842805939</v>
      </c>
    </row>
    <row r="22" spans="1:24">
      <c r="I22" s="363"/>
      <c r="J22" s="363"/>
      <c r="K22" s="363"/>
      <c r="L22" s="370">
        <v>17791.397849462366</v>
      </c>
      <c r="M22" s="370">
        <v>42198.809523809519</v>
      </c>
      <c r="N22" s="370">
        <v>35943.010752688169</v>
      </c>
      <c r="O22" s="370">
        <v>38510</v>
      </c>
      <c r="P22" s="370">
        <v>37680.645161290318</v>
      </c>
      <c r="Q22" s="370">
        <v>29283.333333333332</v>
      </c>
      <c r="R22" s="370">
        <v>39868.817204301078</v>
      </c>
      <c r="S22" s="370">
        <v>56309.677419354834</v>
      </c>
      <c r="T22" s="370">
        <v>68928.888888888891</v>
      </c>
      <c r="U22" s="370">
        <v>59335.48387096775</v>
      </c>
      <c r="V22" s="370">
        <v>47044.444444444438</v>
      </c>
      <c r="W22" s="370">
        <v>35230.107526881715</v>
      </c>
      <c r="X22" s="185">
        <v>42359.012416794671</v>
      </c>
    </row>
    <row r="23" spans="1:24">
      <c r="I23" s="343"/>
      <c r="J23" s="343"/>
      <c r="K23" s="343"/>
      <c r="L23" s="343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163"/>
    </row>
    <row r="24" spans="1:24">
      <c r="I24" s="343"/>
      <c r="J24" s="343"/>
      <c r="K24" s="343"/>
      <c r="L24" s="343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163"/>
    </row>
    <row r="25" spans="1:24" ht="15.75" thickBot="1">
      <c r="I25" s="361"/>
      <c r="J25" s="361"/>
      <c r="K25" s="361"/>
      <c r="L25" s="361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180"/>
    </row>
    <row r="26" spans="1:24" ht="15.75" thickBot="1">
      <c r="A26" s="387" t="s">
        <v>110</v>
      </c>
      <c r="B26" s="388"/>
      <c r="C26" s="388"/>
      <c r="D26" s="388"/>
      <c r="E26" s="388"/>
      <c r="F26" s="388"/>
      <c r="G26" s="389"/>
      <c r="I26" s="369" t="s">
        <v>73</v>
      </c>
      <c r="J26" s="374">
        <v>2019</v>
      </c>
      <c r="K26" s="363"/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363"/>
      <c r="X26" s="171"/>
    </row>
    <row r="27" spans="1:24" ht="45">
      <c r="A27" s="191" t="s">
        <v>104</v>
      </c>
      <c r="B27" s="202" t="s">
        <v>75</v>
      </c>
      <c r="C27" s="202" t="s">
        <v>105</v>
      </c>
      <c r="D27" s="202" t="s">
        <v>106</v>
      </c>
      <c r="E27" s="174" t="s">
        <v>107</v>
      </c>
      <c r="F27" s="202" t="s">
        <v>108</v>
      </c>
      <c r="G27" s="204" t="s">
        <v>109</v>
      </c>
      <c r="I27" s="379"/>
      <c r="J27" s="350" t="s">
        <v>31</v>
      </c>
      <c r="K27" s="351" t="s">
        <v>32</v>
      </c>
      <c r="L27" s="352" t="s">
        <v>33</v>
      </c>
      <c r="M27" s="353" t="s">
        <v>34</v>
      </c>
      <c r="N27" s="354" t="s">
        <v>35</v>
      </c>
      <c r="O27" s="354" t="s">
        <v>36</v>
      </c>
      <c r="P27" s="354" t="s">
        <v>37</v>
      </c>
      <c r="Q27" s="354" t="s">
        <v>38</v>
      </c>
      <c r="R27" s="354" t="s">
        <v>39</v>
      </c>
      <c r="S27" s="354" t="s">
        <v>40</v>
      </c>
      <c r="T27" s="354" t="s">
        <v>41</v>
      </c>
      <c r="U27" s="354" t="s">
        <v>42</v>
      </c>
      <c r="V27" s="354" t="s">
        <v>43</v>
      </c>
      <c r="W27" s="354" t="s">
        <v>44</v>
      </c>
      <c r="X27" s="171"/>
    </row>
    <row r="28" spans="1:24">
      <c r="A28" s="198">
        <v>43627</v>
      </c>
      <c r="B28" s="346">
        <v>84</v>
      </c>
      <c r="C28" s="346" t="s">
        <v>115</v>
      </c>
      <c r="D28" s="346" t="s">
        <v>120</v>
      </c>
      <c r="E28" s="344">
        <v>4.87</v>
      </c>
      <c r="F28" s="346">
        <f t="shared" ref="F28:F32" si="0">E28/B28</f>
        <v>5.797619047619048E-2</v>
      </c>
      <c r="G28" s="162">
        <f>F28*1000000</f>
        <v>57976.190476190481</v>
      </c>
      <c r="I28" s="379"/>
      <c r="J28" s="380">
        <v>7534810685</v>
      </c>
      <c r="K28" s="381" t="s">
        <v>45</v>
      </c>
      <c r="L28" s="382">
        <v>548.38709677419354</v>
      </c>
      <c r="M28" s="382">
        <v>785.71428571428567</v>
      </c>
      <c r="N28" s="382">
        <v>677.41935483870964</v>
      </c>
      <c r="O28" s="382">
        <v>666.66666666666663</v>
      </c>
      <c r="P28" s="382">
        <v>709.67741935483866</v>
      </c>
      <c r="Q28" s="382">
        <v>566.66666666666663</v>
      </c>
      <c r="R28" s="382">
        <v>483.87096774193549</v>
      </c>
      <c r="S28" s="382">
        <v>516.12903225806451</v>
      </c>
      <c r="T28" s="382">
        <v>566.66666666666663</v>
      </c>
      <c r="U28" s="382">
        <v>516.12903225806451</v>
      </c>
      <c r="V28" s="382">
        <v>466.66666666666669</v>
      </c>
      <c r="W28" s="382">
        <v>419.35483870967744</v>
      </c>
      <c r="X28" s="173"/>
    </row>
    <row r="29" spans="1:24">
      <c r="A29" s="198">
        <v>43693</v>
      </c>
      <c r="B29" s="346">
        <v>78</v>
      </c>
      <c r="C29" s="346" t="s">
        <v>116</v>
      </c>
      <c r="D29" s="346" t="s">
        <v>121</v>
      </c>
      <c r="E29" s="344">
        <v>4.45</v>
      </c>
      <c r="F29" s="346">
        <f t="shared" si="0"/>
        <v>5.7051282051282057E-2</v>
      </c>
      <c r="G29" s="162">
        <f t="shared" ref="G29:G32" si="1">F29*1000000</f>
        <v>57051.282051282054</v>
      </c>
      <c r="I29" s="379"/>
      <c r="J29" s="380">
        <v>4366050935</v>
      </c>
      <c r="K29" s="381" t="s">
        <v>46</v>
      </c>
      <c r="L29" s="382">
        <v>161.29032258064515</v>
      </c>
      <c r="M29" s="382">
        <v>857.14285714285711</v>
      </c>
      <c r="N29" s="382">
        <v>645.16129032258061</v>
      </c>
      <c r="O29" s="382">
        <v>933.33333333333337</v>
      </c>
      <c r="P29" s="382">
        <v>612.90322580645159</v>
      </c>
      <c r="Q29" s="382">
        <v>100</v>
      </c>
      <c r="R29" s="382">
        <v>290.32258064516128</v>
      </c>
      <c r="S29" s="382">
        <v>903.22580645161293</v>
      </c>
      <c r="T29" s="382">
        <v>733.33333333333337</v>
      </c>
      <c r="U29" s="382">
        <v>838.70967741935488</v>
      </c>
      <c r="V29" s="382">
        <v>833.33333333333337</v>
      </c>
      <c r="W29" s="382">
        <v>645.16129032258061</v>
      </c>
      <c r="X29" s="173"/>
    </row>
    <row r="30" spans="1:24">
      <c r="A30" s="198">
        <v>43789</v>
      </c>
      <c r="B30" s="346">
        <v>63</v>
      </c>
      <c r="C30" s="346" t="s">
        <v>117</v>
      </c>
      <c r="D30" s="346" t="s">
        <v>122</v>
      </c>
      <c r="E30" s="344">
        <v>4</v>
      </c>
      <c r="F30" s="346">
        <f t="shared" si="0"/>
        <v>6.3492063492063489E-2</v>
      </c>
      <c r="G30" s="162">
        <f t="shared" si="1"/>
        <v>63492.063492063491</v>
      </c>
      <c r="I30" s="379"/>
      <c r="J30" s="380">
        <v>6366050937</v>
      </c>
      <c r="K30" s="381" t="s">
        <v>47</v>
      </c>
      <c r="L30" s="382">
        <v>258.06451612903226</v>
      </c>
      <c r="M30" s="382">
        <v>1142.8571428571429</v>
      </c>
      <c r="N30" s="382">
        <v>838.70967741935488</v>
      </c>
      <c r="O30" s="382">
        <v>1166.6666666666667</v>
      </c>
      <c r="P30" s="382">
        <v>903.22580645161293</v>
      </c>
      <c r="Q30" s="382">
        <v>200</v>
      </c>
      <c r="R30" s="382">
        <v>161.29032258064515</v>
      </c>
      <c r="S30" s="382">
        <v>64.516129032258064</v>
      </c>
      <c r="T30" s="382">
        <v>933.33333333333337</v>
      </c>
      <c r="U30" s="382">
        <v>1548.3870967741937</v>
      </c>
      <c r="V30" s="382">
        <v>1200</v>
      </c>
      <c r="W30" s="382">
        <v>967.74193548387098</v>
      </c>
      <c r="X30" s="173"/>
    </row>
    <row r="31" spans="1:24">
      <c r="A31" s="198">
        <v>43811</v>
      </c>
      <c r="B31" s="346">
        <v>59</v>
      </c>
      <c r="C31" s="346" t="s">
        <v>118</v>
      </c>
      <c r="D31" s="346" t="s">
        <v>123</v>
      </c>
      <c r="E31" s="344">
        <v>3.9</v>
      </c>
      <c r="F31" s="346">
        <f t="shared" si="0"/>
        <v>6.6101694915254236E-2</v>
      </c>
      <c r="G31" s="162">
        <f t="shared" si="1"/>
        <v>66101.694915254237</v>
      </c>
      <c r="I31" s="379"/>
      <c r="J31" s="380">
        <v>7366050938</v>
      </c>
      <c r="K31" s="381" t="s">
        <v>48</v>
      </c>
      <c r="L31" s="382">
        <v>870.9677419354839</v>
      </c>
      <c r="M31" s="382">
        <v>1642.8571428571429</v>
      </c>
      <c r="N31" s="382">
        <v>1806.4516129032259</v>
      </c>
      <c r="O31" s="382">
        <v>1500</v>
      </c>
      <c r="P31" s="382">
        <v>1354.8387096774193</v>
      </c>
      <c r="Q31" s="382">
        <v>1500</v>
      </c>
      <c r="R31" s="382">
        <v>1129.0322580645161</v>
      </c>
      <c r="S31" s="382">
        <v>1225.8064516129032</v>
      </c>
      <c r="T31" s="382">
        <v>1366.6666666666667</v>
      </c>
      <c r="U31" s="382">
        <v>1548.3870967741937</v>
      </c>
      <c r="V31" s="382">
        <v>1533.3333333333333</v>
      </c>
      <c r="W31" s="382">
        <v>1290.3225806451612</v>
      </c>
      <c r="X31" s="173"/>
    </row>
    <row r="32" spans="1:24" ht="15.75" thickBot="1">
      <c r="A32" s="176">
        <v>43523</v>
      </c>
      <c r="B32" s="188">
        <v>80</v>
      </c>
      <c r="C32" s="188" t="s">
        <v>119</v>
      </c>
      <c r="D32" s="188" t="s">
        <v>124</v>
      </c>
      <c r="E32" s="160">
        <v>5.04</v>
      </c>
      <c r="F32" s="188">
        <f t="shared" si="0"/>
        <v>6.3E-2</v>
      </c>
      <c r="G32" s="183">
        <f t="shared" si="1"/>
        <v>63000</v>
      </c>
      <c r="I32" s="379"/>
      <c r="J32" s="380">
        <v>3366050934</v>
      </c>
      <c r="K32" s="381" t="s">
        <v>49</v>
      </c>
      <c r="L32" s="382">
        <v>12225.806451612903</v>
      </c>
      <c r="M32" s="382">
        <v>11250</v>
      </c>
      <c r="N32" s="382">
        <v>9709.677419354839</v>
      </c>
      <c r="O32" s="382">
        <v>10266.666666666666</v>
      </c>
      <c r="P32" s="382">
        <v>10193.548387096775</v>
      </c>
      <c r="Q32" s="382">
        <v>6833.333333333333</v>
      </c>
      <c r="R32" s="382">
        <v>2483.8709677419356</v>
      </c>
      <c r="S32" s="382">
        <v>2612.9032258064517</v>
      </c>
      <c r="T32" s="382">
        <v>8000</v>
      </c>
      <c r="U32" s="382">
        <v>9000</v>
      </c>
      <c r="V32" s="382">
        <v>8466.6666666666661</v>
      </c>
      <c r="W32" s="382">
        <v>5193.5483870967746</v>
      </c>
      <c r="X32" s="173"/>
    </row>
    <row r="33" spans="1:24" ht="15.75" thickBot="1">
      <c r="A33" s="345"/>
      <c r="B33" s="345"/>
      <c r="C33" s="345"/>
      <c r="D33" s="345"/>
      <c r="E33" s="345"/>
      <c r="F33" s="345"/>
      <c r="G33" s="345"/>
      <c r="I33" s="379"/>
      <c r="J33" s="384">
        <v>5581150299</v>
      </c>
      <c r="K33" s="381" t="s">
        <v>50</v>
      </c>
      <c r="L33" s="382">
        <v>1193.5483870967741</v>
      </c>
      <c r="M33" s="382">
        <v>5071.4285714285716</v>
      </c>
      <c r="N33" s="382">
        <v>4612.9032258064517</v>
      </c>
      <c r="O33" s="382">
        <v>4866.666666666667</v>
      </c>
      <c r="P33" s="382">
        <v>4419.3548387096771</v>
      </c>
      <c r="Q33" s="382">
        <v>1966.6666666666667</v>
      </c>
      <c r="R33" s="382">
        <v>3709.6774193548385</v>
      </c>
      <c r="S33" s="382">
        <v>8000</v>
      </c>
      <c r="T33" s="382">
        <v>9133.3333333333339</v>
      </c>
      <c r="U33" s="382">
        <v>6354.8387096774195</v>
      </c>
      <c r="V33" s="382">
        <v>3400</v>
      </c>
      <c r="W33" s="382">
        <v>2870.9677419354839</v>
      </c>
      <c r="X33" s="173"/>
    </row>
    <row r="34" spans="1:24" ht="15.75" thickBot="1">
      <c r="A34" s="390" t="s">
        <v>113</v>
      </c>
      <c r="B34" s="391"/>
      <c r="C34" s="391"/>
      <c r="D34" s="391"/>
      <c r="E34" s="391"/>
      <c r="F34" s="391"/>
      <c r="G34" s="392"/>
      <c r="I34" s="379"/>
      <c r="J34" s="384">
        <v>5366050936</v>
      </c>
      <c r="K34" s="381" t="s">
        <v>51</v>
      </c>
      <c r="L34" s="382">
        <v>354.83870967741933</v>
      </c>
      <c r="M34" s="382">
        <v>1214.2857142857142</v>
      </c>
      <c r="N34" s="382">
        <v>1225.8064516129032</v>
      </c>
      <c r="O34" s="382">
        <v>1233.3333333333333</v>
      </c>
      <c r="P34" s="382">
        <v>1129.0322580645161</v>
      </c>
      <c r="Q34" s="382">
        <v>300</v>
      </c>
      <c r="R34" s="382">
        <v>322.58064516129031</v>
      </c>
      <c r="S34" s="382">
        <v>32.258064516129032</v>
      </c>
      <c r="T34" s="382">
        <v>600</v>
      </c>
      <c r="U34" s="382">
        <v>870.9677419354839</v>
      </c>
      <c r="V34" s="382">
        <v>933.33333333333337</v>
      </c>
      <c r="W34" s="382">
        <v>774.19354838709683</v>
      </c>
      <c r="X34" s="197"/>
    </row>
    <row r="35" spans="1:24" ht="45">
      <c r="A35" s="184" t="s">
        <v>111</v>
      </c>
      <c r="B35" s="169" t="s">
        <v>75</v>
      </c>
      <c r="C35" s="169" t="s">
        <v>106</v>
      </c>
      <c r="D35" s="199" t="s">
        <v>112</v>
      </c>
      <c r="E35" s="202" t="s">
        <v>108</v>
      </c>
      <c r="F35" s="165" t="s">
        <v>101</v>
      </c>
      <c r="G35" s="196" t="s">
        <v>114</v>
      </c>
      <c r="I35" s="383"/>
      <c r="J35" s="384">
        <v>2052150585</v>
      </c>
      <c r="K35" s="381" t="s">
        <v>52</v>
      </c>
      <c r="L35" s="382">
        <v>12064.516129032258</v>
      </c>
      <c r="M35" s="382">
        <v>19785.714285714286</v>
      </c>
      <c r="N35" s="382">
        <v>16419.354838709678</v>
      </c>
      <c r="O35" s="382">
        <v>16800</v>
      </c>
      <c r="P35" s="382">
        <v>11612.903225806451</v>
      </c>
      <c r="Q35" s="382">
        <v>6233.333333333333</v>
      </c>
      <c r="R35" s="382">
        <v>8064.5161290322585</v>
      </c>
      <c r="S35" s="382">
        <v>10870.967741935483</v>
      </c>
      <c r="T35" s="382">
        <v>14033.333333333334</v>
      </c>
      <c r="U35" s="382">
        <v>14580.645161290322</v>
      </c>
      <c r="V35" s="382">
        <v>8000</v>
      </c>
      <c r="W35" s="382">
        <v>7032.2580645161288</v>
      </c>
      <c r="X35" s="197"/>
    </row>
    <row r="36" spans="1:24">
      <c r="A36" s="198">
        <v>43627</v>
      </c>
      <c r="B36" s="346">
        <v>84</v>
      </c>
      <c r="C36" s="346" t="s">
        <v>120</v>
      </c>
      <c r="D36" s="347">
        <f>(L45*30)+(M45*28)+(N45*26)</f>
        <v>3651354.8387096776</v>
      </c>
      <c r="E36" s="347">
        <f>D36/B36</f>
        <v>43468.509984639022</v>
      </c>
      <c r="F36" s="189">
        <f>G28-E36</f>
        <v>14507.680491551459</v>
      </c>
      <c r="G36" s="193">
        <f>M45*84</f>
        <v>4536000.0000000009</v>
      </c>
      <c r="I36" s="379"/>
      <c r="J36" s="384">
        <v>8635150066</v>
      </c>
      <c r="K36" s="381" t="s">
        <v>53</v>
      </c>
      <c r="L36" s="382">
        <v>32.258064516129032</v>
      </c>
      <c r="M36" s="382">
        <v>214.28571428571428</v>
      </c>
      <c r="N36" s="382">
        <v>193.54838709677421</v>
      </c>
      <c r="O36" s="382">
        <v>166.66666666666666</v>
      </c>
      <c r="P36" s="382">
        <v>129.03225806451613</v>
      </c>
      <c r="Q36" s="382">
        <v>100</v>
      </c>
      <c r="R36" s="382">
        <v>96.774193548387103</v>
      </c>
      <c r="S36" s="382">
        <v>96.774193548387103</v>
      </c>
      <c r="T36" s="382">
        <v>133.33333333333334</v>
      </c>
      <c r="U36" s="382">
        <v>161.29032258064515</v>
      </c>
      <c r="V36" s="382">
        <v>133.33333333333334</v>
      </c>
      <c r="W36" s="382">
        <v>96.774193548387103</v>
      </c>
      <c r="X36" s="197"/>
    </row>
    <row r="37" spans="1:24">
      <c r="A37" s="198">
        <v>43693</v>
      </c>
      <c r="B37" s="203">
        <v>47</v>
      </c>
      <c r="C37" s="346" t="s">
        <v>121</v>
      </c>
      <c r="D37" s="347">
        <f>(N45*5)+(O45*30)+(P45*12)</f>
        <v>2190193.5483870963</v>
      </c>
      <c r="E37" s="347">
        <f t="shared" ref="E37:E40" si="2">D37/B37</f>
        <v>46599.862731640344</v>
      </c>
      <c r="F37" s="189">
        <f t="shared" ref="F37:F40" si="3">G29-E37</f>
        <v>10451.419319641711</v>
      </c>
      <c r="G37" s="193">
        <f>P45*78</f>
        <v>3318774.1935483874</v>
      </c>
      <c r="I37" s="379"/>
      <c r="J37" s="385">
        <v>6663150208</v>
      </c>
      <c r="K37" s="381" t="s">
        <v>54</v>
      </c>
      <c r="L37" s="382">
        <v>645.16129032258061</v>
      </c>
      <c r="M37" s="382">
        <v>1678.5714285714287</v>
      </c>
      <c r="N37" s="382">
        <v>1161.2903225806451</v>
      </c>
      <c r="O37" s="382">
        <v>1333.3333333333333</v>
      </c>
      <c r="P37" s="382">
        <v>1290.3225806451612</v>
      </c>
      <c r="Q37" s="382">
        <v>700</v>
      </c>
      <c r="R37" s="382">
        <v>612.90322580645159</v>
      </c>
      <c r="S37" s="382">
        <v>580.64516129032256</v>
      </c>
      <c r="T37" s="382">
        <v>700</v>
      </c>
      <c r="U37" s="382">
        <v>1129.0322580645161</v>
      </c>
      <c r="V37" s="382">
        <v>1300</v>
      </c>
      <c r="W37" s="382">
        <v>1096.7741935483871</v>
      </c>
      <c r="X37" s="197"/>
    </row>
    <row r="38" spans="1:24">
      <c r="A38" s="198">
        <v>43789</v>
      </c>
      <c r="B38" s="346">
        <v>63</v>
      </c>
      <c r="C38" s="346" t="s">
        <v>122</v>
      </c>
      <c r="D38" s="347">
        <f>(Q45*18)+(R45*31)+(S45*14)</f>
        <v>2036348.3870967743</v>
      </c>
      <c r="E38" s="347">
        <f t="shared" si="2"/>
        <v>32322.99027137737</v>
      </c>
      <c r="F38" s="189">
        <f t="shared" si="3"/>
        <v>31169.073220686121</v>
      </c>
      <c r="G38" s="193">
        <f>R45*63</f>
        <v>1902193.5483870967</v>
      </c>
      <c r="I38" s="379"/>
      <c r="J38" s="384">
        <v>6068150813</v>
      </c>
      <c r="K38" s="381" t="s">
        <v>55</v>
      </c>
      <c r="L38" s="382">
        <v>193.54838709677421</v>
      </c>
      <c r="M38" s="382">
        <v>1000</v>
      </c>
      <c r="N38" s="382">
        <v>774.19354838709683</v>
      </c>
      <c r="O38" s="382">
        <v>966.66666666666663</v>
      </c>
      <c r="P38" s="382">
        <v>2322.5806451612902</v>
      </c>
      <c r="Q38" s="382">
        <v>4833.333333333333</v>
      </c>
      <c r="R38" s="382">
        <v>5903.2258064516127</v>
      </c>
      <c r="S38" s="382">
        <v>7354.8387096774195</v>
      </c>
      <c r="T38" s="382">
        <v>6266.666666666667</v>
      </c>
      <c r="U38" s="382">
        <v>5612.9032258064517</v>
      </c>
      <c r="V38" s="382">
        <v>1866.6666666666667</v>
      </c>
      <c r="W38" s="382">
        <v>741.93548387096769</v>
      </c>
      <c r="X38" s="197"/>
    </row>
    <row r="39" spans="1:24">
      <c r="A39" s="198">
        <v>43811</v>
      </c>
      <c r="B39" s="346">
        <v>59</v>
      </c>
      <c r="C39" s="346" t="s">
        <v>123</v>
      </c>
      <c r="D39" s="347">
        <f>(S45*17)+(T45*30)+(U45*12)</f>
        <v>2914419.3548387103</v>
      </c>
      <c r="E39" s="347">
        <f t="shared" si="2"/>
        <v>49396.93821760526</v>
      </c>
      <c r="F39" s="189">
        <f t="shared" si="3"/>
        <v>16704.756697648976</v>
      </c>
      <c r="G39" s="193">
        <f>T45*59</f>
        <v>3097500</v>
      </c>
      <c r="I39" s="379"/>
      <c r="J39" s="385">
        <v>5068150812</v>
      </c>
      <c r="K39" s="381" t="s">
        <v>56</v>
      </c>
      <c r="L39" s="382">
        <v>225.80645161290323</v>
      </c>
      <c r="M39" s="382">
        <v>642.85714285714289</v>
      </c>
      <c r="N39" s="382">
        <v>516.12903225806451</v>
      </c>
      <c r="O39" s="382">
        <v>733.33333333333337</v>
      </c>
      <c r="P39" s="382">
        <v>451.61290322580646</v>
      </c>
      <c r="Q39" s="382">
        <v>300</v>
      </c>
      <c r="R39" s="382">
        <v>290.32258064516128</v>
      </c>
      <c r="S39" s="382">
        <v>1000</v>
      </c>
      <c r="T39" s="382">
        <v>1000</v>
      </c>
      <c r="U39" s="382">
        <v>903.22580645161293</v>
      </c>
      <c r="V39" s="382">
        <v>633.33333333333337</v>
      </c>
      <c r="W39" s="382">
        <v>419.35483870967744</v>
      </c>
      <c r="X39" s="197"/>
    </row>
    <row r="40" spans="1:24">
      <c r="A40" s="198">
        <v>43523</v>
      </c>
      <c r="B40" s="346">
        <v>80</v>
      </c>
      <c r="C40" s="346" t="s">
        <v>124</v>
      </c>
      <c r="D40" s="347">
        <f>(U45*19)+(V45*30)+(W45*31)</f>
        <v>3000032.2580645159</v>
      </c>
      <c r="E40" s="347">
        <f t="shared" si="2"/>
        <v>37500.403225806447</v>
      </c>
      <c r="F40" s="189">
        <f t="shared" si="3"/>
        <v>25499.596774193553</v>
      </c>
      <c r="G40" s="193">
        <f>V45*80</f>
        <v>2968000</v>
      </c>
      <c r="I40" s="379"/>
      <c r="J40" s="385">
        <v>2364150700</v>
      </c>
      <c r="K40" s="381" t="s">
        <v>57</v>
      </c>
      <c r="L40" s="382">
        <v>1387.0967741935483</v>
      </c>
      <c r="M40" s="382">
        <v>2750</v>
      </c>
      <c r="N40" s="382">
        <v>1677.4193548387098</v>
      </c>
      <c r="O40" s="382">
        <v>1566.6666666666667</v>
      </c>
      <c r="P40" s="382">
        <v>1709.6774193548388</v>
      </c>
      <c r="Q40" s="382">
        <v>1200</v>
      </c>
      <c r="R40" s="382">
        <v>1064.516129032258</v>
      </c>
      <c r="S40" s="382">
        <v>1516.1290322580646</v>
      </c>
      <c r="T40" s="382">
        <v>1900</v>
      </c>
      <c r="U40" s="382">
        <v>2354.8387096774195</v>
      </c>
      <c r="V40" s="382">
        <v>1800</v>
      </c>
      <c r="W40" s="382">
        <v>1645.1612903225807</v>
      </c>
      <c r="X40" s="197"/>
    </row>
    <row r="41" spans="1:24" ht="15.75" thickBot="1">
      <c r="A41" s="192"/>
      <c r="B41" s="175">
        <f>SUM(B36:B40)</f>
        <v>333</v>
      </c>
      <c r="C41" s="161"/>
      <c r="D41" s="188"/>
      <c r="E41" s="188"/>
      <c r="F41" s="182"/>
      <c r="G41" s="166"/>
      <c r="I41" s="379"/>
      <c r="J41" s="385">
        <v>1364150699</v>
      </c>
      <c r="K41" s="381" t="s">
        <v>58</v>
      </c>
      <c r="L41" s="382">
        <v>967.74193548387098</v>
      </c>
      <c r="M41" s="382">
        <v>4178.5714285714284</v>
      </c>
      <c r="N41" s="382">
        <v>3322.5806451612902</v>
      </c>
      <c r="O41" s="382">
        <v>4166.666666666667</v>
      </c>
      <c r="P41" s="382">
        <v>3645.1612903225805</v>
      </c>
      <c r="Q41" s="382">
        <v>2833.3333333333335</v>
      </c>
      <c r="R41" s="382">
        <v>3806.4516129032259</v>
      </c>
      <c r="S41" s="382">
        <v>4612.9032258064517</v>
      </c>
      <c r="T41" s="382">
        <v>5266.666666666667</v>
      </c>
      <c r="U41" s="382">
        <v>5935.4838709677415</v>
      </c>
      <c r="V41" s="382">
        <v>4100</v>
      </c>
      <c r="W41" s="382">
        <v>3258.0645161290322</v>
      </c>
      <c r="X41" s="197"/>
    </row>
    <row r="42" spans="1:24">
      <c r="A42" s="345"/>
      <c r="B42" s="345"/>
      <c r="C42" s="345"/>
      <c r="D42" s="345"/>
      <c r="E42" s="345"/>
      <c r="F42" s="345"/>
      <c r="G42" s="345"/>
      <c r="I42" s="379"/>
      <c r="J42" s="384">
        <v>2068150809</v>
      </c>
      <c r="K42" s="381" t="s">
        <v>59</v>
      </c>
      <c r="L42" s="382">
        <v>0</v>
      </c>
      <c r="M42" s="382">
        <v>71.428571428571431</v>
      </c>
      <c r="N42" s="382">
        <v>32.258064516129032</v>
      </c>
      <c r="O42" s="382">
        <v>33.333333333333336</v>
      </c>
      <c r="P42" s="382">
        <v>32.258064516129032</v>
      </c>
      <c r="Q42" s="382">
        <v>33.333333333333336</v>
      </c>
      <c r="R42" s="382">
        <v>32.258064516129032</v>
      </c>
      <c r="S42" s="382">
        <v>32.258064516129032</v>
      </c>
      <c r="T42" s="382">
        <v>33.333333333333336</v>
      </c>
      <c r="U42" s="382">
        <v>64.516129032258064</v>
      </c>
      <c r="V42" s="382">
        <v>33.333333333333336</v>
      </c>
      <c r="W42" s="382">
        <v>32.258064516129032</v>
      </c>
      <c r="X42" s="197"/>
    </row>
    <row r="43" spans="1:24">
      <c r="A43" s="345"/>
      <c r="B43" s="345"/>
      <c r="C43" s="345"/>
      <c r="D43" s="345"/>
      <c r="E43" s="345"/>
      <c r="F43" s="345"/>
      <c r="G43" s="345"/>
      <c r="I43" s="379"/>
      <c r="J43" s="384">
        <v>5756250297</v>
      </c>
      <c r="K43" s="381" t="s">
        <v>60</v>
      </c>
      <c r="L43" s="382">
        <v>193.54838709677421</v>
      </c>
      <c r="M43" s="382">
        <v>321.42857142857144</v>
      </c>
      <c r="N43" s="382">
        <v>483.87096774193549</v>
      </c>
      <c r="O43" s="382">
        <v>600</v>
      </c>
      <c r="P43" s="382">
        <v>709.67741935483866</v>
      </c>
      <c r="Q43" s="382">
        <v>600</v>
      </c>
      <c r="R43" s="382">
        <v>677.41935483870964</v>
      </c>
      <c r="S43" s="382">
        <v>612.90322580645159</v>
      </c>
      <c r="T43" s="382">
        <v>766.66666666666663</v>
      </c>
      <c r="U43" s="382">
        <v>838.70967741935488</v>
      </c>
      <c r="V43" s="382">
        <v>1100</v>
      </c>
      <c r="W43" s="382">
        <v>483.87096774193549</v>
      </c>
      <c r="X43" s="197"/>
    </row>
    <row r="44" spans="1:24">
      <c r="A44" s="345"/>
      <c r="B44" s="345"/>
      <c r="C44" s="345"/>
      <c r="D44" s="345"/>
      <c r="E44" s="345"/>
      <c r="F44" s="345"/>
      <c r="G44" s="345"/>
      <c r="I44" s="379"/>
      <c r="J44" s="385">
        <v>3054467971</v>
      </c>
      <c r="K44" s="381" t="s">
        <v>62</v>
      </c>
      <c r="L44" s="382">
        <v>709.67741935483866</v>
      </c>
      <c r="M44" s="382">
        <v>1392.8571428571429</v>
      </c>
      <c r="N44" s="382">
        <v>1225.8064516129032</v>
      </c>
      <c r="O44" s="382">
        <v>1433.3333333333333</v>
      </c>
      <c r="P44" s="382">
        <v>1322.5806451612902</v>
      </c>
      <c r="Q44" s="382">
        <v>966.66666666666663</v>
      </c>
      <c r="R44" s="382">
        <v>1064.516129032258</v>
      </c>
      <c r="S44" s="382">
        <v>935.48387096774195</v>
      </c>
      <c r="T44" s="382">
        <v>1066.6666666666667</v>
      </c>
      <c r="U44" s="382">
        <v>1322.5806451612902</v>
      </c>
      <c r="V44" s="382">
        <v>1300</v>
      </c>
      <c r="W44" s="382">
        <v>1064.516129032258</v>
      </c>
      <c r="X44" s="197"/>
    </row>
    <row r="45" spans="1:24">
      <c r="A45" s="345"/>
      <c r="B45" s="345"/>
      <c r="C45" s="345"/>
      <c r="D45" s="345"/>
      <c r="E45" s="345"/>
      <c r="F45" s="345"/>
      <c r="G45" s="345"/>
      <c r="I45" s="363"/>
      <c r="J45" s="363"/>
      <c r="K45" s="363"/>
      <c r="L45" s="368">
        <v>32032.258064516122</v>
      </c>
      <c r="M45" s="368">
        <v>54000.000000000007</v>
      </c>
      <c r="N45" s="368">
        <v>45322.580645161288</v>
      </c>
      <c r="O45" s="368">
        <v>48433.333333333328</v>
      </c>
      <c r="P45" s="368">
        <v>42548.387096774197</v>
      </c>
      <c r="Q45" s="368">
        <v>29266.666666666664</v>
      </c>
      <c r="R45" s="368">
        <v>30193.548387096773</v>
      </c>
      <c r="S45" s="368">
        <v>40967.741935483878</v>
      </c>
      <c r="T45" s="368">
        <v>52500</v>
      </c>
      <c r="U45" s="368">
        <v>53580.645161290318</v>
      </c>
      <c r="V45" s="368">
        <v>37100</v>
      </c>
      <c r="W45" s="368">
        <v>28032.258064516125</v>
      </c>
      <c r="X45" s="163"/>
    </row>
    <row r="46" spans="1:24">
      <c r="A46" s="345"/>
      <c r="B46" s="345"/>
      <c r="C46" s="345"/>
      <c r="D46" s="345"/>
      <c r="E46" s="345"/>
      <c r="F46" s="345"/>
      <c r="G46" s="345"/>
      <c r="I46" s="343"/>
      <c r="J46" s="343"/>
      <c r="K46" s="343"/>
      <c r="L46" s="343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163"/>
    </row>
    <row r="47" spans="1:24" ht="15.75" thickBot="1">
      <c r="A47" s="345"/>
      <c r="B47" s="345"/>
      <c r="C47" s="345"/>
      <c r="D47" s="345"/>
      <c r="E47" s="345"/>
      <c r="F47" s="345"/>
      <c r="G47" s="345"/>
      <c r="I47" s="361"/>
      <c r="J47" s="361"/>
      <c r="K47" s="361"/>
      <c r="L47" s="361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180"/>
    </row>
    <row r="48" spans="1:24" ht="15.75" thickBot="1">
      <c r="A48" s="387" t="s">
        <v>110</v>
      </c>
      <c r="B48" s="388"/>
      <c r="C48" s="388"/>
      <c r="D48" s="388"/>
      <c r="E48" s="388"/>
      <c r="F48" s="388"/>
      <c r="G48" s="389"/>
      <c r="I48" s="369" t="s">
        <v>73</v>
      </c>
      <c r="J48" s="374">
        <v>2020</v>
      </c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168"/>
    </row>
    <row r="49" spans="1:24" ht="45">
      <c r="A49" s="191" t="s">
        <v>104</v>
      </c>
      <c r="B49" s="202" t="s">
        <v>75</v>
      </c>
      <c r="C49" s="202" t="s">
        <v>105</v>
      </c>
      <c r="D49" s="202" t="s">
        <v>106</v>
      </c>
      <c r="E49" s="174" t="s">
        <v>107</v>
      </c>
      <c r="F49" s="202" t="s">
        <v>108</v>
      </c>
      <c r="G49" s="204" t="s">
        <v>109</v>
      </c>
      <c r="I49" s="379"/>
      <c r="J49" s="350" t="s">
        <v>31</v>
      </c>
      <c r="K49" s="351" t="s">
        <v>32</v>
      </c>
      <c r="L49" s="352" t="s">
        <v>33</v>
      </c>
      <c r="M49" s="353" t="s">
        <v>34</v>
      </c>
      <c r="N49" s="354" t="s">
        <v>35</v>
      </c>
      <c r="O49" s="354" t="s">
        <v>36</v>
      </c>
      <c r="P49" s="354" t="s">
        <v>37</v>
      </c>
      <c r="Q49" s="354" t="s">
        <v>38</v>
      </c>
      <c r="R49" s="354" t="s">
        <v>39</v>
      </c>
      <c r="S49" s="354" t="s">
        <v>40</v>
      </c>
      <c r="T49" s="354" t="s">
        <v>41</v>
      </c>
      <c r="U49" s="354" t="s">
        <v>42</v>
      </c>
      <c r="V49" s="354" t="s">
        <v>43</v>
      </c>
      <c r="W49" s="354" t="s">
        <v>44</v>
      </c>
      <c r="X49" s="168"/>
    </row>
    <row r="50" spans="1:24">
      <c r="A50" s="198">
        <v>43924</v>
      </c>
      <c r="B50" s="346">
        <v>4</v>
      </c>
      <c r="C50" s="344" t="s">
        <v>119</v>
      </c>
      <c r="D50" s="205" t="s">
        <v>130</v>
      </c>
      <c r="E50" s="344">
        <v>0.02</v>
      </c>
      <c r="F50" s="346">
        <f>E50/B50</f>
        <v>5.0000000000000001E-3</v>
      </c>
      <c r="G50" s="162">
        <f>F50*1000000</f>
        <v>5000</v>
      </c>
      <c r="I50" s="375"/>
      <c r="J50" s="355">
        <v>7534810685</v>
      </c>
      <c r="K50" s="358" t="s">
        <v>45</v>
      </c>
      <c r="L50" s="382">
        <v>322.58064516129031</v>
      </c>
      <c r="M50" s="382">
        <v>535.71428571428567</v>
      </c>
      <c r="N50" s="382">
        <v>483.87096774193549</v>
      </c>
      <c r="O50" s="382">
        <v>533.33333333333337</v>
      </c>
      <c r="P50" s="382">
        <v>580.64516129032256</v>
      </c>
      <c r="Q50" s="382">
        <v>466.66666666666669</v>
      </c>
      <c r="R50" s="382">
        <v>387.09677419354841</v>
      </c>
      <c r="S50" s="382">
        <v>387.09677419354841</v>
      </c>
      <c r="T50" s="382">
        <v>433.33333333333331</v>
      </c>
      <c r="U50" s="382">
        <v>387.09677419354841</v>
      </c>
      <c r="V50" s="382">
        <v>433.33333333333331</v>
      </c>
      <c r="W50" s="382">
        <v>419.35483870967744</v>
      </c>
      <c r="X50" s="168"/>
    </row>
    <row r="51" spans="1:24">
      <c r="A51" s="198">
        <v>44029</v>
      </c>
      <c r="B51" s="344">
        <v>120</v>
      </c>
      <c r="C51" s="344" t="s">
        <v>125</v>
      </c>
      <c r="D51" s="344" t="s">
        <v>131</v>
      </c>
      <c r="E51" s="344">
        <v>4.4400000000000004</v>
      </c>
      <c r="F51" s="346">
        <f t="shared" ref="F51:F55" si="4">E51/B51</f>
        <v>3.7000000000000005E-2</v>
      </c>
      <c r="G51" s="162">
        <f t="shared" ref="G51:G55" si="5">F51*1000000</f>
        <v>37000.000000000007</v>
      </c>
      <c r="I51" s="375"/>
      <c r="J51" s="355">
        <v>4366050935</v>
      </c>
      <c r="K51" s="358" t="s">
        <v>46</v>
      </c>
      <c r="L51" s="382">
        <v>96.774193548387103</v>
      </c>
      <c r="M51" s="382">
        <v>785.71428571428567</v>
      </c>
      <c r="N51" s="382">
        <v>612.90322580645159</v>
      </c>
      <c r="O51" s="382">
        <v>433.33333333333331</v>
      </c>
      <c r="P51" s="382">
        <v>258.06451612903226</v>
      </c>
      <c r="Q51" s="382">
        <v>33.333333333333336</v>
      </c>
      <c r="R51" s="382">
        <v>0</v>
      </c>
      <c r="S51" s="382">
        <v>0</v>
      </c>
      <c r="T51" s="382">
        <v>866.66666666666663</v>
      </c>
      <c r="U51" s="382">
        <v>645.16129032258061</v>
      </c>
      <c r="V51" s="382">
        <v>833.33333333333337</v>
      </c>
      <c r="W51" s="382">
        <v>419.35483870967744</v>
      </c>
      <c r="X51" s="168"/>
    </row>
    <row r="52" spans="1:24" ht="17.25" customHeight="1">
      <c r="A52" s="198">
        <v>44078</v>
      </c>
      <c r="B52" s="346">
        <v>84</v>
      </c>
      <c r="C52" s="344" t="s">
        <v>126</v>
      </c>
      <c r="D52" s="344" t="s">
        <v>132</v>
      </c>
      <c r="E52" s="344">
        <v>0.59</v>
      </c>
      <c r="F52" s="346">
        <f>E52/B52</f>
        <v>7.0238095238095233E-3</v>
      </c>
      <c r="G52" s="162">
        <f>F52*1000000</f>
        <v>7023.8095238095229</v>
      </c>
      <c r="I52" s="375"/>
      <c r="J52" s="355">
        <v>6366050937</v>
      </c>
      <c r="K52" s="358" t="s">
        <v>47</v>
      </c>
      <c r="L52" s="382">
        <v>161.29032258064515</v>
      </c>
      <c r="M52" s="382">
        <v>1321.4285714285713</v>
      </c>
      <c r="N52" s="382">
        <v>870.9677419354839</v>
      </c>
      <c r="O52" s="382">
        <v>733.33333333333337</v>
      </c>
      <c r="P52" s="382">
        <v>387.09677419354841</v>
      </c>
      <c r="Q52" s="382">
        <v>233.33333333333334</v>
      </c>
      <c r="R52" s="382">
        <v>258.06451612903226</v>
      </c>
      <c r="S52" s="382">
        <v>225.80645161290323</v>
      </c>
      <c r="T52" s="382">
        <v>866.66666666666663</v>
      </c>
      <c r="U52" s="382">
        <v>870.9677419354839</v>
      </c>
      <c r="V52" s="382">
        <v>1166.6666666666667</v>
      </c>
      <c r="W52" s="382">
        <v>645.16129032258061</v>
      </c>
      <c r="X52" s="168"/>
    </row>
    <row r="53" spans="1:24">
      <c r="A53" s="198">
        <v>44148</v>
      </c>
      <c r="B53" s="346">
        <v>52</v>
      </c>
      <c r="C53" s="344" t="s">
        <v>127</v>
      </c>
      <c r="D53" s="344" t="s">
        <v>133</v>
      </c>
      <c r="E53" s="344">
        <v>0.79</v>
      </c>
      <c r="F53" s="346">
        <f t="shared" si="4"/>
        <v>1.5192307692307692E-2</v>
      </c>
      <c r="G53" s="162">
        <f t="shared" si="5"/>
        <v>15192.307692307693</v>
      </c>
      <c r="I53" s="375"/>
      <c r="J53" s="355">
        <v>7366050938</v>
      </c>
      <c r="K53" s="358" t="s">
        <v>48</v>
      </c>
      <c r="L53" s="382">
        <v>774.19354838709683</v>
      </c>
      <c r="M53" s="382">
        <v>1642.8571428571429</v>
      </c>
      <c r="N53" s="382">
        <v>1354.8387096774193</v>
      </c>
      <c r="O53" s="382">
        <v>500</v>
      </c>
      <c r="P53" s="382">
        <v>129.03225806451613</v>
      </c>
      <c r="Q53" s="382">
        <v>333.33333333333331</v>
      </c>
      <c r="R53" s="382">
        <v>935.48387096774195</v>
      </c>
      <c r="S53" s="382">
        <v>1354.8387096774193</v>
      </c>
      <c r="T53" s="382">
        <v>1533.3333333333333</v>
      </c>
      <c r="U53" s="382">
        <v>1064.516129032258</v>
      </c>
      <c r="V53" s="382">
        <v>600</v>
      </c>
      <c r="W53" s="382">
        <v>387.09677419354841</v>
      </c>
      <c r="X53" s="168"/>
    </row>
    <row r="54" spans="1:24">
      <c r="A54" s="198">
        <v>44225</v>
      </c>
      <c r="B54" s="346">
        <v>77</v>
      </c>
      <c r="C54" s="344" t="s">
        <v>128</v>
      </c>
      <c r="D54" s="344" t="s">
        <v>134</v>
      </c>
      <c r="E54" s="344">
        <v>0.72</v>
      </c>
      <c r="F54" s="346">
        <f t="shared" si="4"/>
        <v>9.3506493506493506E-3</v>
      </c>
      <c r="G54" s="162">
        <f t="shared" si="5"/>
        <v>9350.6493506493498</v>
      </c>
      <c r="I54" s="375"/>
      <c r="J54" s="355">
        <v>3366050934</v>
      </c>
      <c r="K54" s="358" t="s">
        <v>49</v>
      </c>
      <c r="L54" s="382">
        <v>903.22580645161293</v>
      </c>
      <c r="M54" s="382">
        <v>6357.1428571428569</v>
      </c>
      <c r="N54" s="382">
        <v>5129.0322580645161</v>
      </c>
      <c r="O54" s="382">
        <v>3100</v>
      </c>
      <c r="P54" s="382">
        <v>1548.3870967741937</v>
      </c>
      <c r="Q54" s="382">
        <v>433.33333333333331</v>
      </c>
      <c r="R54" s="382">
        <v>322.58064516129031</v>
      </c>
      <c r="S54" s="382">
        <v>645.16129032258061</v>
      </c>
      <c r="T54" s="382">
        <v>4566.666666666667</v>
      </c>
      <c r="U54" s="382">
        <v>4193.5483870967746</v>
      </c>
      <c r="V54" s="382">
        <v>4666.666666666667</v>
      </c>
      <c r="W54" s="382">
        <v>3161.2903225806454</v>
      </c>
      <c r="X54" s="163"/>
    </row>
    <row r="55" spans="1:24" ht="15.75" thickBot="1">
      <c r="A55" s="176">
        <v>44260</v>
      </c>
      <c r="B55" s="188">
        <v>29</v>
      </c>
      <c r="C55" s="160" t="s">
        <v>129</v>
      </c>
      <c r="D55" s="160" t="s">
        <v>135</v>
      </c>
      <c r="E55" s="160">
        <v>0.23</v>
      </c>
      <c r="F55" s="188">
        <f t="shared" si="4"/>
        <v>7.9310344827586213E-3</v>
      </c>
      <c r="G55" s="183">
        <f t="shared" si="5"/>
        <v>7931.0344827586214</v>
      </c>
      <c r="I55" s="375"/>
      <c r="J55" s="356">
        <v>5581150299</v>
      </c>
      <c r="K55" s="358" t="s">
        <v>50</v>
      </c>
      <c r="L55" s="382">
        <v>645.16129032258061</v>
      </c>
      <c r="M55" s="382">
        <v>3178.5714285714284</v>
      </c>
      <c r="N55" s="382">
        <v>2419.3548387096776</v>
      </c>
      <c r="O55" s="382">
        <v>1700</v>
      </c>
      <c r="P55" s="382">
        <v>3709.6774193548385</v>
      </c>
      <c r="Q55" s="382">
        <v>5833.333333333333</v>
      </c>
      <c r="R55" s="382">
        <v>354.83870967741933</v>
      </c>
      <c r="S55" s="382">
        <v>967.74193548387098</v>
      </c>
      <c r="T55" s="382">
        <v>6266.666666666667</v>
      </c>
      <c r="U55" s="382">
        <v>7483.8709677419356</v>
      </c>
      <c r="V55" s="382">
        <v>7500</v>
      </c>
      <c r="W55" s="382">
        <v>2806.4516129032259</v>
      </c>
      <c r="X55" s="163"/>
    </row>
    <row r="56" spans="1:24" ht="15.75" thickBot="1">
      <c r="A56" s="345"/>
      <c r="B56" s="345"/>
      <c r="C56" s="345"/>
      <c r="D56" s="345"/>
      <c r="E56" s="345"/>
      <c r="F56" s="345"/>
      <c r="G56" s="345"/>
      <c r="I56" s="375"/>
      <c r="J56" s="356">
        <v>5366050936</v>
      </c>
      <c r="K56" s="358" t="s">
        <v>51</v>
      </c>
      <c r="L56" s="382">
        <v>225.80645161290323</v>
      </c>
      <c r="M56" s="382">
        <v>892.85714285714289</v>
      </c>
      <c r="N56" s="382">
        <v>645.16129032258061</v>
      </c>
      <c r="O56" s="382">
        <v>400</v>
      </c>
      <c r="P56" s="382">
        <v>483.87096774193549</v>
      </c>
      <c r="Q56" s="382">
        <v>266.66666666666669</v>
      </c>
      <c r="R56" s="382">
        <v>161.29032258064515</v>
      </c>
      <c r="S56" s="382">
        <v>64.516129032258064</v>
      </c>
      <c r="T56" s="382">
        <v>733.33333333333337</v>
      </c>
      <c r="U56" s="382">
        <v>838.70967741935488</v>
      </c>
      <c r="V56" s="382">
        <v>1333.3333333333333</v>
      </c>
      <c r="W56" s="382">
        <v>387.09677419354841</v>
      </c>
      <c r="X56" s="163"/>
    </row>
    <row r="57" spans="1:24" ht="15.75" thickBot="1">
      <c r="A57" s="390" t="s">
        <v>113</v>
      </c>
      <c r="B57" s="391"/>
      <c r="C57" s="391"/>
      <c r="D57" s="391"/>
      <c r="E57" s="391"/>
      <c r="F57" s="391"/>
      <c r="G57" s="392"/>
      <c r="I57" s="373"/>
      <c r="J57" s="356">
        <v>2052150585</v>
      </c>
      <c r="K57" s="358" t="s">
        <v>52</v>
      </c>
      <c r="L57" s="382">
        <v>1709.6774193548388</v>
      </c>
      <c r="M57" s="382">
        <v>8750</v>
      </c>
      <c r="N57" s="382">
        <v>6129.0322580645161</v>
      </c>
      <c r="O57" s="382">
        <v>3833.3333333333335</v>
      </c>
      <c r="P57" s="382">
        <v>6064.5161290322585</v>
      </c>
      <c r="Q57" s="382">
        <v>7566.666666666667</v>
      </c>
      <c r="R57" s="382">
        <v>14870.967741935483</v>
      </c>
      <c r="S57" s="382">
        <v>11193.548387096775</v>
      </c>
      <c r="T57" s="382">
        <v>15900</v>
      </c>
      <c r="U57" s="382">
        <v>12064.516129032258</v>
      </c>
      <c r="V57" s="382">
        <v>8966.6666666666661</v>
      </c>
      <c r="W57" s="382">
        <v>3129.0322580645161</v>
      </c>
      <c r="X57" s="163"/>
    </row>
    <row r="58" spans="1:24" ht="45">
      <c r="A58" s="184" t="s">
        <v>111</v>
      </c>
      <c r="B58" s="169" t="s">
        <v>75</v>
      </c>
      <c r="C58" s="169" t="s">
        <v>106</v>
      </c>
      <c r="D58" s="199" t="s">
        <v>112</v>
      </c>
      <c r="E58" s="202" t="s">
        <v>108</v>
      </c>
      <c r="F58" s="165" t="s">
        <v>101</v>
      </c>
      <c r="G58" s="196" t="s">
        <v>114</v>
      </c>
      <c r="I58" s="375"/>
      <c r="J58" s="356">
        <v>8635150066</v>
      </c>
      <c r="K58" s="358" t="s">
        <v>53</v>
      </c>
      <c r="L58" s="382">
        <v>0</v>
      </c>
      <c r="M58" s="382">
        <v>321.42857142857144</v>
      </c>
      <c r="N58" s="382">
        <v>129.03225806451613</v>
      </c>
      <c r="O58" s="382">
        <v>33.333333333333336</v>
      </c>
      <c r="P58" s="382">
        <v>0</v>
      </c>
      <c r="Q58" s="382">
        <v>0</v>
      </c>
      <c r="R58" s="382">
        <v>32.258064516129032</v>
      </c>
      <c r="S58" s="382">
        <v>32.258064516129032</v>
      </c>
      <c r="T58" s="382">
        <v>133.33333333333334</v>
      </c>
      <c r="U58" s="382">
        <v>161.29032258064515</v>
      </c>
      <c r="V58" s="382">
        <v>166.66666666666666</v>
      </c>
      <c r="W58" s="382">
        <v>129.03225806451613</v>
      </c>
      <c r="X58" s="163"/>
    </row>
    <row r="59" spans="1:24">
      <c r="A59" s="198">
        <v>43924</v>
      </c>
      <c r="B59" s="346">
        <v>4</v>
      </c>
      <c r="C59" s="205" t="s">
        <v>130</v>
      </c>
      <c r="D59" s="347">
        <f>(L69*4)</f>
        <v>32903.225806451606</v>
      </c>
      <c r="E59" s="347">
        <f>D59/B59</f>
        <v>8225.8064516129016</v>
      </c>
      <c r="F59" s="189">
        <f t="shared" ref="F59:F64" si="6">G51-E59</f>
        <v>28774.193548387106</v>
      </c>
      <c r="G59" s="193">
        <f>V45*4</f>
        <v>148400</v>
      </c>
      <c r="I59" s="375"/>
      <c r="J59" s="357">
        <v>6663150208</v>
      </c>
      <c r="K59" s="358" t="s">
        <v>54</v>
      </c>
      <c r="L59" s="382">
        <v>516.12903225806451</v>
      </c>
      <c r="M59" s="382">
        <v>1250</v>
      </c>
      <c r="N59" s="382">
        <v>1000</v>
      </c>
      <c r="O59" s="382">
        <v>333.33333333333331</v>
      </c>
      <c r="P59" s="382">
        <v>96.774193548387103</v>
      </c>
      <c r="Q59" s="382">
        <v>133.33333333333334</v>
      </c>
      <c r="R59" s="382">
        <v>290.32258064516128</v>
      </c>
      <c r="S59" s="382">
        <v>354.83870967741933</v>
      </c>
      <c r="T59" s="382">
        <v>533.33333333333337</v>
      </c>
      <c r="U59" s="382">
        <v>387.09677419354841</v>
      </c>
      <c r="V59" s="382">
        <v>433.33333333333331</v>
      </c>
      <c r="W59" s="382">
        <v>258.06451612903226</v>
      </c>
      <c r="X59" s="163"/>
    </row>
    <row r="60" spans="1:24">
      <c r="A60" s="198">
        <v>44029</v>
      </c>
      <c r="B60" s="344">
        <v>120</v>
      </c>
      <c r="C60" s="344" t="s">
        <v>131</v>
      </c>
      <c r="D60" s="347">
        <f>(L69*27)+(M69*29)+(N69*31)+(O69*30)+(P69*3)</f>
        <v>2560751.1520737326</v>
      </c>
      <c r="E60" s="347">
        <f>D60/B60</f>
        <v>21339.59293394777</v>
      </c>
      <c r="F60" s="172">
        <f>G52-E60</f>
        <v>-14315.783410138247</v>
      </c>
      <c r="G60" s="193">
        <f>(AVERAGE(M69:N69))*120</f>
        <v>3776682.0276497686</v>
      </c>
      <c r="I60" s="375"/>
      <c r="J60" s="356">
        <v>6068150813</v>
      </c>
      <c r="K60" s="358" t="s">
        <v>55</v>
      </c>
      <c r="L60" s="382">
        <v>161.29032258064515</v>
      </c>
      <c r="M60" s="382">
        <v>1071.4285714285713</v>
      </c>
      <c r="N60" s="382">
        <v>806.45161290322585</v>
      </c>
      <c r="O60" s="382">
        <v>233.33333333333334</v>
      </c>
      <c r="P60" s="382">
        <v>32.258064516129032</v>
      </c>
      <c r="Q60" s="382">
        <v>100</v>
      </c>
      <c r="R60" s="382">
        <v>14000</v>
      </c>
      <c r="S60" s="382">
        <v>7096.7741935483873</v>
      </c>
      <c r="T60" s="382">
        <v>6500</v>
      </c>
      <c r="U60" s="382">
        <v>3709.6774193548385</v>
      </c>
      <c r="V60" s="382">
        <v>1866.6666666666667</v>
      </c>
      <c r="W60" s="382">
        <v>96.774193548387103</v>
      </c>
      <c r="X60" s="163"/>
    </row>
    <row r="61" spans="1:24">
      <c r="A61" s="198">
        <v>44078</v>
      </c>
      <c r="B61" s="346">
        <v>84</v>
      </c>
      <c r="C61" s="344" t="s">
        <v>132</v>
      </c>
      <c r="D61" s="347">
        <f>(P69*28)+(Q69*30)+(R69*26)</f>
        <v>1883387.0967741937</v>
      </c>
      <c r="E61" s="347">
        <f t="shared" ref="E61:E64" si="7">D61/B61</f>
        <v>22421.274961597544</v>
      </c>
      <c r="F61" s="172">
        <f t="shared" si="6"/>
        <v>-7228.9672692898512</v>
      </c>
      <c r="G61" s="193">
        <f>R69*84</f>
        <v>3248903.2258064519</v>
      </c>
      <c r="I61" s="375"/>
      <c r="J61" s="357">
        <v>5068150812</v>
      </c>
      <c r="K61" s="358" t="s">
        <v>56</v>
      </c>
      <c r="L61" s="382">
        <v>161.29032258064515</v>
      </c>
      <c r="M61" s="382">
        <v>607.14285714285711</v>
      </c>
      <c r="N61" s="382">
        <v>483.87096774193549</v>
      </c>
      <c r="O61" s="382">
        <v>133.33333333333334</v>
      </c>
      <c r="P61" s="382">
        <v>96.774193548387103</v>
      </c>
      <c r="Q61" s="382">
        <v>133.33333333333334</v>
      </c>
      <c r="R61" s="382">
        <v>1290.3225806451612</v>
      </c>
      <c r="S61" s="382">
        <v>516.12903225806451</v>
      </c>
      <c r="T61" s="382">
        <v>766.66666666666663</v>
      </c>
      <c r="U61" s="382">
        <v>677.41935483870964</v>
      </c>
      <c r="V61" s="382">
        <v>4233.333333333333</v>
      </c>
      <c r="W61" s="382">
        <v>96.774193548387103</v>
      </c>
      <c r="X61" s="163"/>
    </row>
    <row r="62" spans="1:24">
      <c r="A62" s="198">
        <v>44148</v>
      </c>
      <c r="B62" s="346">
        <v>52</v>
      </c>
      <c r="C62" s="344" t="s">
        <v>133</v>
      </c>
      <c r="D62" s="347">
        <f>(R69*5)+(S69*31)+(T69*16)</f>
        <v>4461453.7634408604</v>
      </c>
      <c r="E62" s="347">
        <f t="shared" si="7"/>
        <v>85797.187758478089</v>
      </c>
      <c r="F62" s="172">
        <f t="shared" si="6"/>
        <v>-76446.538407828746</v>
      </c>
      <c r="G62" s="193">
        <f>S69*52</f>
        <v>5345935.4838709682</v>
      </c>
      <c r="I62" s="375"/>
      <c r="J62" s="357">
        <v>2364150700</v>
      </c>
      <c r="K62" s="358" t="s">
        <v>57</v>
      </c>
      <c r="L62" s="382">
        <v>1032.258064516129</v>
      </c>
      <c r="M62" s="382">
        <v>2464.2857142857142</v>
      </c>
      <c r="N62" s="382">
        <v>2516.1290322580644</v>
      </c>
      <c r="O62" s="382">
        <v>333.33333333333331</v>
      </c>
      <c r="P62" s="382">
        <v>258.06451612903226</v>
      </c>
      <c r="Q62" s="382">
        <v>400</v>
      </c>
      <c r="R62" s="382">
        <v>516.12903225806451</v>
      </c>
      <c r="S62" s="382">
        <v>451.61290322580646</v>
      </c>
      <c r="T62" s="382">
        <v>566.66666666666663</v>
      </c>
      <c r="U62" s="382">
        <v>419.35483870967744</v>
      </c>
      <c r="V62" s="382">
        <v>1200</v>
      </c>
      <c r="W62" s="382">
        <v>1000</v>
      </c>
      <c r="X62" s="163"/>
    </row>
    <row r="63" spans="1:24">
      <c r="A63" s="198">
        <v>44225</v>
      </c>
      <c r="B63" s="346">
        <v>77</v>
      </c>
      <c r="C63" s="344" t="s">
        <v>134</v>
      </c>
      <c r="D63" s="347">
        <f>(T69*14)+(U69*31)+(V69*30)+(W69*2)</f>
        <v>3982546.2365591396</v>
      </c>
      <c r="E63" s="347">
        <f t="shared" ref="E63" si="8">D63/B63</f>
        <v>51721.37969557324</v>
      </c>
      <c r="F63" s="172">
        <f t="shared" si="6"/>
        <v>-43790.345212814616</v>
      </c>
      <c r="G63" s="193">
        <f>U69*77</f>
        <v>3859935.4838709664</v>
      </c>
      <c r="I63" s="375"/>
      <c r="J63" s="357">
        <v>1364150699</v>
      </c>
      <c r="K63" s="358" t="s">
        <v>58</v>
      </c>
      <c r="L63" s="382">
        <v>645.16129032258061</v>
      </c>
      <c r="M63" s="382">
        <v>4250</v>
      </c>
      <c r="N63" s="382">
        <v>3129.0322580645161</v>
      </c>
      <c r="O63" s="382">
        <v>1200</v>
      </c>
      <c r="P63" s="382">
        <v>32.258064516129032</v>
      </c>
      <c r="Q63" s="382">
        <v>200</v>
      </c>
      <c r="R63" s="382">
        <v>4677.4193548387093</v>
      </c>
      <c r="S63" s="382">
        <v>3451.6129032258063</v>
      </c>
      <c r="T63" s="382">
        <v>4433.333333333333</v>
      </c>
      <c r="U63" s="382">
        <v>3064.516129032258</v>
      </c>
      <c r="V63" s="382">
        <v>2233.3333333333335</v>
      </c>
      <c r="W63" s="382">
        <v>483.87096774193549</v>
      </c>
      <c r="X63" s="163"/>
    </row>
    <row r="64" spans="1:24">
      <c r="A64" s="198">
        <v>44260</v>
      </c>
      <c r="B64" s="346">
        <v>29</v>
      </c>
      <c r="C64" s="344" t="s">
        <v>135</v>
      </c>
      <c r="D64" s="347">
        <f>W69*29</f>
        <v>574387.09677419346</v>
      </c>
      <c r="E64" s="347">
        <f t="shared" si="7"/>
        <v>19806.451612903224</v>
      </c>
      <c r="F64" s="172">
        <f t="shared" si="6"/>
        <v>-19806.451612903224</v>
      </c>
      <c r="G64" s="193">
        <f>L93*29</f>
        <v>314322.58064516133</v>
      </c>
      <c r="I64" s="375"/>
      <c r="J64" s="356">
        <v>2068150809</v>
      </c>
      <c r="K64" s="358" t="s">
        <v>59</v>
      </c>
      <c r="L64" s="382">
        <v>0</v>
      </c>
      <c r="M64" s="382">
        <v>35.714285714285715</v>
      </c>
      <c r="N64" s="382">
        <v>32.258064516129032</v>
      </c>
      <c r="O64" s="382">
        <v>33.333333333333336</v>
      </c>
      <c r="P64" s="382">
        <v>0</v>
      </c>
      <c r="Q64" s="382">
        <v>0</v>
      </c>
      <c r="R64" s="382">
        <v>0</v>
      </c>
      <c r="S64" s="382">
        <v>0</v>
      </c>
      <c r="T64" s="382">
        <v>33.333333333333336</v>
      </c>
      <c r="U64" s="382">
        <v>0</v>
      </c>
      <c r="V64" s="382">
        <v>33.333333333333336</v>
      </c>
      <c r="W64" s="382">
        <v>32.258064516129032</v>
      </c>
      <c r="X64" s="163"/>
    </row>
    <row r="65" spans="1:24" ht="15.75" thickBot="1">
      <c r="A65" s="192"/>
      <c r="B65" s="161"/>
      <c r="C65" s="161"/>
      <c r="D65" s="188"/>
      <c r="E65" s="188"/>
      <c r="F65" s="182"/>
      <c r="G65" s="166"/>
      <c r="I65" s="375"/>
      <c r="J65" s="356">
        <v>5756250297</v>
      </c>
      <c r="K65" s="358" t="s">
        <v>60</v>
      </c>
      <c r="L65" s="382">
        <v>0</v>
      </c>
      <c r="M65" s="382">
        <v>0</v>
      </c>
      <c r="N65" s="382">
        <v>0</v>
      </c>
      <c r="O65" s="382">
        <v>0</v>
      </c>
      <c r="P65" s="382">
        <v>0</v>
      </c>
      <c r="Q65" s="382">
        <v>0</v>
      </c>
      <c r="R65" s="382">
        <v>0</v>
      </c>
      <c r="S65" s="382">
        <v>75580.645161290318</v>
      </c>
      <c r="T65" s="382">
        <v>22800</v>
      </c>
      <c r="U65" s="382">
        <v>13387.096774193549</v>
      </c>
      <c r="V65" s="382">
        <v>11666.666666666666</v>
      </c>
      <c r="W65" s="382">
        <v>5774.1935483870966</v>
      </c>
      <c r="X65" s="163"/>
    </row>
    <row r="66" spans="1:24">
      <c r="A66" s="345"/>
      <c r="B66" s="345"/>
      <c r="C66" s="345"/>
      <c r="D66" s="345"/>
      <c r="E66" s="345"/>
      <c r="F66" s="345"/>
      <c r="G66" s="345"/>
      <c r="I66" s="375"/>
      <c r="J66" s="357">
        <v>1665911804</v>
      </c>
      <c r="K66" s="358" t="s">
        <v>61</v>
      </c>
      <c r="L66" s="382">
        <v>258.06451612903226</v>
      </c>
      <c r="M66" s="382">
        <v>607.14285714285711</v>
      </c>
      <c r="N66" s="382">
        <v>612.90322580645159</v>
      </c>
      <c r="O66" s="382">
        <v>66.666666666666671</v>
      </c>
      <c r="P66" s="382">
        <v>0</v>
      </c>
      <c r="Q66" s="382">
        <v>166.66666666666666</v>
      </c>
      <c r="R66" s="382">
        <v>193.54838709677421</v>
      </c>
      <c r="S66" s="382">
        <v>96.774193548387103</v>
      </c>
      <c r="T66" s="382">
        <v>133.33333333333334</v>
      </c>
      <c r="U66" s="382">
        <v>354.83870967741933</v>
      </c>
      <c r="V66" s="382">
        <v>200</v>
      </c>
      <c r="W66" s="382">
        <v>225.80645161290323</v>
      </c>
      <c r="X66" s="163"/>
    </row>
    <row r="67" spans="1:24">
      <c r="A67" s="345"/>
      <c r="B67" s="345"/>
      <c r="C67" s="345"/>
      <c r="D67" s="345"/>
      <c r="E67" s="345"/>
      <c r="F67" s="345"/>
      <c r="G67" s="345"/>
      <c r="I67" s="375"/>
      <c r="J67" s="357">
        <v>3054467971</v>
      </c>
      <c r="K67" s="358" t="s">
        <v>62</v>
      </c>
      <c r="L67" s="382">
        <v>612.90322580645159</v>
      </c>
      <c r="M67" s="382">
        <v>1357.1428571428571</v>
      </c>
      <c r="N67" s="382">
        <v>1161.2903225806451</v>
      </c>
      <c r="O67" s="382">
        <v>300</v>
      </c>
      <c r="P67" s="382">
        <v>64.516129032258064</v>
      </c>
      <c r="Q67" s="382">
        <v>133.33333333333334</v>
      </c>
      <c r="R67" s="382">
        <v>387.09677419354841</v>
      </c>
      <c r="S67" s="382">
        <v>387.09677419354841</v>
      </c>
      <c r="T67" s="382">
        <v>500</v>
      </c>
      <c r="U67" s="382">
        <v>419.35483870967744</v>
      </c>
      <c r="V67" s="382">
        <v>566.66666666666663</v>
      </c>
      <c r="W67" s="382">
        <v>258.06451612903226</v>
      </c>
      <c r="X67" s="163"/>
    </row>
    <row r="68" spans="1:24">
      <c r="A68" s="345"/>
      <c r="B68" s="345"/>
      <c r="C68" s="345"/>
      <c r="D68" s="345"/>
      <c r="E68" s="345"/>
      <c r="F68" s="345"/>
      <c r="G68" s="345"/>
      <c r="I68" s="375"/>
      <c r="J68" s="357">
        <v>3380811569</v>
      </c>
      <c r="K68" s="358" t="s">
        <v>63</v>
      </c>
      <c r="L68" s="382">
        <v>0</v>
      </c>
      <c r="M68" s="382">
        <v>0</v>
      </c>
      <c r="N68" s="382">
        <v>0</v>
      </c>
      <c r="O68" s="382">
        <v>0</v>
      </c>
      <c r="P68" s="382">
        <v>0</v>
      </c>
      <c r="Q68" s="382">
        <v>0</v>
      </c>
      <c r="R68" s="382">
        <v>0</v>
      </c>
      <c r="S68" s="382">
        <v>0</v>
      </c>
      <c r="T68" s="382">
        <v>0</v>
      </c>
      <c r="U68" s="382">
        <v>0</v>
      </c>
      <c r="V68" s="382">
        <v>0</v>
      </c>
      <c r="W68" s="382">
        <v>96.774193548387103</v>
      </c>
      <c r="X68" s="163"/>
    </row>
    <row r="69" spans="1:24">
      <c r="A69" s="345"/>
      <c r="B69" s="345"/>
      <c r="C69" s="345"/>
      <c r="D69" s="345"/>
      <c r="E69" s="345"/>
      <c r="F69" s="345"/>
      <c r="G69" s="345"/>
      <c r="I69" s="343"/>
      <c r="J69" s="343"/>
      <c r="K69" s="343"/>
      <c r="L69" s="368">
        <v>8225.8064516129016</v>
      </c>
      <c r="M69" s="368">
        <v>35428.57142857142</v>
      </c>
      <c r="N69" s="368">
        <v>27516.129032258064</v>
      </c>
      <c r="O69" s="368">
        <v>13900.000000000004</v>
      </c>
      <c r="P69" s="368">
        <v>13741.935483870966</v>
      </c>
      <c r="Q69" s="368">
        <v>16433.333333333336</v>
      </c>
      <c r="R69" s="368">
        <v>38677.419354838712</v>
      </c>
      <c r="S69" s="368">
        <v>102806.45161290323</v>
      </c>
      <c r="T69" s="368">
        <v>67566.666666666672</v>
      </c>
      <c r="U69" s="368">
        <v>50129.032258064501</v>
      </c>
      <c r="V69" s="368">
        <v>48100</v>
      </c>
      <c r="W69" s="368">
        <v>19806.451612903224</v>
      </c>
      <c r="X69" s="163"/>
    </row>
    <row r="70" spans="1:24">
      <c r="A70" s="345"/>
      <c r="B70" s="345"/>
      <c r="C70" s="345"/>
      <c r="D70" s="345"/>
      <c r="E70" s="345"/>
      <c r="F70" s="345"/>
      <c r="G70" s="345"/>
      <c r="I70" s="343"/>
      <c r="J70" s="343"/>
      <c r="K70" s="343"/>
      <c r="L70" s="343"/>
      <c r="M70" s="345"/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163"/>
    </row>
    <row r="71" spans="1:24" ht="15.75" thickBot="1">
      <c r="A71" s="345"/>
      <c r="B71" s="345"/>
      <c r="C71" s="345"/>
      <c r="D71" s="345"/>
      <c r="E71" s="345"/>
      <c r="F71" s="345"/>
      <c r="G71" s="345"/>
      <c r="I71" s="361"/>
      <c r="J71" s="361"/>
      <c r="K71" s="361"/>
      <c r="L71" s="361"/>
      <c r="M71" s="360"/>
      <c r="N71" s="360"/>
      <c r="O71" s="360"/>
      <c r="P71" s="360"/>
      <c r="Q71" s="360"/>
      <c r="R71" s="360"/>
      <c r="S71" s="360"/>
      <c r="T71" s="360"/>
      <c r="U71" s="360"/>
      <c r="V71" s="360"/>
      <c r="W71" s="360"/>
      <c r="X71" s="180"/>
    </row>
    <row r="72" spans="1:24" ht="15.75" thickBot="1">
      <c r="A72" s="387" t="s">
        <v>110</v>
      </c>
      <c r="B72" s="388"/>
      <c r="C72" s="388"/>
      <c r="D72" s="388"/>
      <c r="E72" s="388"/>
      <c r="F72" s="388"/>
      <c r="G72" s="389"/>
      <c r="I72" s="369" t="s">
        <v>73</v>
      </c>
      <c r="J72" s="374">
        <v>2021</v>
      </c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376"/>
      <c r="W72" s="376"/>
      <c r="X72" s="200"/>
    </row>
    <row r="73" spans="1:24" ht="45">
      <c r="A73" s="191" t="s">
        <v>104</v>
      </c>
      <c r="B73" s="202" t="s">
        <v>75</v>
      </c>
      <c r="C73" s="202" t="s">
        <v>105</v>
      </c>
      <c r="D73" s="202" t="s">
        <v>106</v>
      </c>
      <c r="E73" s="174" t="s">
        <v>107</v>
      </c>
      <c r="F73" s="202" t="s">
        <v>108</v>
      </c>
      <c r="G73" s="204" t="s">
        <v>109</v>
      </c>
      <c r="I73" s="379"/>
      <c r="J73" s="350" t="s">
        <v>31</v>
      </c>
      <c r="K73" s="351" t="s">
        <v>32</v>
      </c>
      <c r="L73" s="352" t="s">
        <v>33</v>
      </c>
      <c r="M73" s="353" t="s">
        <v>34</v>
      </c>
      <c r="N73" s="354" t="s">
        <v>35</v>
      </c>
      <c r="O73" s="354" t="s">
        <v>36</v>
      </c>
      <c r="P73" s="354" t="s">
        <v>37</v>
      </c>
      <c r="Q73" s="354" t="s">
        <v>38</v>
      </c>
      <c r="R73" s="354" t="s">
        <v>39</v>
      </c>
      <c r="S73" s="354" t="s">
        <v>40</v>
      </c>
      <c r="T73" s="354" t="s">
        <v>41</v>
      </c>
      <c r="U73" s="354" t="s">
        <v>42</v>
      </c>
      <c r="V73" s="354" t="s">
        <v>43</v>
      </c>
      <c r="W73" s="354" t="s">
        <v>44</v>
      </c>
      <c r="X73" s="200"/>
    </row>
    <row r="74" spans="1:24">
      <c r="A74" s="198">
        <v>44302</v>
      </c>
      <c r="B74" s="346">
        <v>48</v>
      </c>
      <c r="C74" s="205" t="s">
        <v>129</v>
      </c>
      <c r="D74" s="205" t="s">
        <v>142</v>
      </c>
      <c r="E74" s="344">
        <v>0.25</v>
      </c>
      <c r="F74" s="346">
        <f t="shared" ref="F74:F80" si="9">E74/B74</f>
        <v>5.208333333333333E-3</v>
      </c>
      <c r="G74" s="162">
        <f>F74*1000000</f>
        <v>5208.333333333333</v>
      </c>
      <c r="I74" s="375"/>
      <c r="J74" s="355">
        <v>7534810685</v>
      </c>
      <c r="K74" s="358" t="s">
        <v>45</v>
      </c>
      <c r="L74" s="382">
        <v>387.09677419354841</v>
      </c>
      <c r="M74" s="382">
        <v>500</v>
      </c>
      <c r="N74" s="382">
        <v>451.61290322580646</v>
      </c>
      <c r="O74" s="382">
        <v>466.66666666666669</v>
      </c>
      <c r="P74" s="382">
        <v>548.38709677419354</v>
      </c>
      <c r="Q74" s="382">
        <v>333.33333333333331</v>
      </c>
      <c r="R74" s="382">
        <v>322.58064516129031</v>
      </c>
      <c r="S74" s="382">
        <v>451.61290322580646</v>
      </c>
      <c r="T74" s="382">
        <v>433.33333333333331</v>
      </c>
      <c r="U74" s="382">
        <v>580.64516129032256</v>
      </c>
      <c r="V74" s="382">
        <v>400</v>
      </c>
      <c r="W74" s="382">
        <v>483.87096774193549</v>
      </c>
      <c r="X74" s="200"/>
    </row>
    <row r="75" spans="1:24">
      <c r="A75" s="198">
        <v>44365</v>
      </c>
      <c r="B75" s="346">
        <v>67</v>
      </c>
      <c r="C75" s="344" t="s">
        <v>136</v>
      </c>
      <c r="D75" s="344" t="s">
        <v>143</v>
      </c>
      <c r="E75" s="344">
        <v>2.72</v>
      </c>
      <c r="F75" s="346">
        <f t="shared" si="9"/>
        <v>4.059701492537314E-2</v>
      </c>
      <c r="G75" s="162">
        <f t="shared" ref="G75:G80" si="10">F75*1000000</f>
        <v>40597.014925373143</v>
      </c>
      <c r="I75" s="375"/>
      <c r="J75" s="355">
        <v>4366050935</v>
      </c>
      <c r="K75" s="358" t="s">
        <v>46</v>
      </c>
      <c r="L75" s="382">
        <v>96.774193548387103</v>
      </c>
      <c r="M75" s="382">
        <v>571.42857142857144</v>
      </c>
      <c r="N75" s="382">
        <v>548.38709677419354</v>
      </c>
      <c r="O75" s="382">
        <v>500</v>
      </c>
      <c r="P75" s="382">
        <v>387.09677419354841</v>
      </c>
      <c r="Q75" s="382">
        <v>33.333333333333336</v>
      </c>
      <c r="R75" s="382">
        <v>0</v>
      </c>
      <c r="S75" s="382">
        <v>64.516129032258064</v>
      </c>
      <c r="T75" s="382">
        <v>2300</v>
      </c>
      <c r="U75" s="382">
        <v>1580.6451612903227</v>
      </c>
      <c r="V75" s="382">
        <v>2066.6666666666665</v>
      </c>
      <c r="W75" s="382">
        <v>1483.8709677419354</v>
      </c>
      <c r="X75" s="200"/>
    </row>
    <row r="76" spans="1:24">
      <c r="A76" s="198">
        <v>44420</v>
      </c>
      <c r="B76" s="346">
        <v>59</v>
      </c>
      <c r="C76" s="344" t="s">
        <v>137</v>
      </c>
      <c r="D76" s="344" t="s">
        <v>144</v>
      </c>
      <c r="E76" s="344">
        <v>2.06</v>
      </c>
      <c r="F76" s="346">
        <f t="shared" ref="F76:F77" si="11">E76/B76</f>
        <v>3.4915254237288133E-2</v>
      </c>
      <c r="G76" s="162">
        <f t="shared" si="10"/>
        <v>34915.254237288136</v>
      </c>
      <c r="I76" s="375"/>
      <c r="J76" s="355">
        <v>6366050937</v>
      </c>
      <c r="K76" s="358" t="s">
        <v>47</v>
      </c>
      <c r="L76" s="382">
        <v>32.258064516129032</v>
      </c>
      <c r="M76" s="382">
        <v>2107.1428571428573</v>
      </c>
      <c r="N76" s="382">
        <v>1580.6451612903227</v>
      </c>
      <c r="O76" s="382">
        <v>1900</v>
      </c>
      <c r="P76" s="382">
        <v>3096.7741935483873</v>
      </c>
      <c r="Q76" s="382">
        <v>3733.3333333333335</v>
      </c>
      <c r="R76" s="382">
        <v>903.22580645161293</v>
      </c>
      <c r="S76" s="382">
        <v>64.516129032258064</v>
      </c>
      <c r="T76" s="382">
        <v>1900</v>
      </c>
      <c r="U76" s="382">
        <v>1741.9354838709678</v>
      </c>
      <c r="V76" s="382">
        <v>1933.3333333333333</v>
      </c>
      <c r="W76" s="382">
        <v>870.9677419354839</v>
      </c>
      <c r="X76" s="200"/>
    </row>
    <row r="77" spans="1:24">
      <c r="A77" s="198"/>
      <c r="B77" s="346">
        <v>59</v>
      </c>
      <c r="C77" s="344" t="s">
        <v>138</v>
      </c>
      <c r="D77" s="344" t="s">
        <v>145</v>
      </c>
      <c r="E77" s="344">
        <v>2.06</v>
      </c>
      <c r="F77" s="346">
        <f t="shared" si="11"/>
        <v>3.4915254237288133E-2</v>
      </c>
      <c r="G77" s="162">
        <f t="shared" si="10"/>
        <v>34915.254237288136</v>
      </c>
      <c r="I77" s="375"/>
      <c r="J77" s="355">
        <v>7366050938</v>
      </c>
      <c r="K77" s="358" t="s">
        <v>48</v>
      </c>
      <c r="L77" s="382">
        <v>387.09677419354841</v>
      </c>
      <c r="M77" s="382">
        <v>642.85714285714289</v>
      </c>
      <c r="N77" s="382">
        <v>709.67741935483866</v>
      </c>
      <c r="O77" s="382">
        <v>633.33333333333337</v>
      </c>
      <c r="P77" s="382">
        <v>741.93548387096769</v>
      </c>
      <c r="Q77" s="382">
        <v>833.33333333333337</v>
      </c>
      <c r="R77" s="382">
        <v>1225.8064516129032</v>
      </c>
      <c r="S77" s="382">
        <v>2064.516129032258</v>
      </c>
      <c r="T77" s="382">
        <v>1833.3333333333333</v>
      </c>
      <c r="U77" s="382">
        <v>1645.1612903225807</v>
      </c>
      <c r="V77" s="382">
        <v>1133.3333333333333</v>
      </c>
      <c r="W77" s="382">
        <v>967.74193548387098</v>
      </c>
      <c r="X77" s="200"/>
    </row>
    <row r="78" spans="1:24">
      <c r="A78" s="198">
        <v>44614</v>
      </c>
      <c r="B78" s="346">
        <v>132</v>
      </c>
      <c r="C78" s="344" t="s">
        <v>139</v>
      </c>
      <c r="D78" s="179" t="s">
        <v>146</v>
      </c>
      <c r="E78" s="344">
        <v>5.55</v>
      </c>
      <c r="F78" s="346">
        <f t="shared" si="9"/>
        <v>4.2045454545454546E-2</v>
      </c>
      <c r="G78" s="162">
        <f t="shared" si="10"/>
        <v>42045.454545454544</v>
      </c>
      <c r="I78" s="375"/>
      <c r="J78" s="355">
        <v>3366050934</v>
      </c>
      <c r="K78" s="358" t="s">
        <v>49</v>
      </c>
      <c r="L78" s="382">
        <v>32.258064516129032</v>
      </c>
      <c r="M78" s="382">
        <v>3678.5714285714284</v>
      </c>
      <c r="N78" s="382">
        <v>6096.7741935483873</v>
      </c>
      <c r="O78" s="382">
        <v>5500</v>
      </c>
      <c r="P78" s="382">
        <v>3870.9677419354839</v>
      </c>
      <c r="Q78" s="382">
        <v>1700</v>
      </c>
      <c r="R78" s="382">
        <v>2709.6774193548385</v>
      </c>
      <c r="S78" s="382">
        <v>1935.483870967742</v>
      </c>
      <c r="T78" s="382">
        <v>3666.6666666666665</v>
      </c>
      <c r="U78" s="382">
        <v>4419.3548387096771</v>
      </c>
      <c r="V78" s="382">
        <v>4233.333333333333</v>
      </c>
      <c r="W78" s="382">
        <v>3935.483870967742</v>
      </c>
      <c r="X78" s="163"/>
    </row>
    <row r="79" spans="1:24">
      <c r="A79" s="198">
        <v>44635</v>
      </c>
      <c r="B79" s="346">
        <v>97</v>
      </c>
      <c r="C79" s="344" t="s">
        <v>140</v>
      </c>
      <c r="D79" s="344" t="s">
        <v>147</v>
      </c>
      <c r="E79" s="344">
        <v>3.88</v>
      </c>
      <c r="F79" s="346">
        <f t="shared" si="9"/>
        <v>0.04</v>
      </c>
      <c r="G79" s="162">
        <f t="shared" si="10"/>
        <v>40000</v>
      </c>
      <c r="I79" s="375"/>
      <c r="J79" s="356">
        <v>5581150299</v>
      </c>
      <c r="K79" s="358" t="s">
        <v>50</v>
      </c>
      <c r="L79" s="382">
        <v>1258.0645161290322</v>
      </c>
      <c r="M79" s="382">
        <v>4607.1428571428569</v>
      </c>
      <c r="N79" s="382">
        <v>4612.9032258064517</v>
      </c>
      <c r="O79" s="382">
        <v>4533.333333333333</v>
      </c>
      <c r="P79" s="382">
        <v>3354.8387096774195</v>
      </c>
      <c r="Q79" s="382">
        <v>633.33333333333337</v>
      </c>
      <c r="R79" s="382">
        <v>3258.0645161290322</v>
      </c>
      <c r="S79" s="382">
        <v>5903.2258064516127</v>
      </c>
      <c r="T79" s="382">
        <v>6966.666666666667</v>
      </c>
      <c r="U79" s="382">
        <v>10451.612903225807</v>
      </c>
      <c r="V79" s="382">
        <v>10533.333333333334</v>
      </c>
      <c r="W79" s="382">
        <v>10483.870967741936</v>
      </c>
      <c r="X79" s="163"/>
    </row>
    <row r="80" spans="1:24" ht="15.75" thickBot="1">
      <c r="A80" s="176">
        <v>44635</v>
      </c>
      <c r="B80" s="188">
        <v>35</v>
      </c>
      <c r="C80" s="186" t="s">
        <v>148</v>
      </c>
      <c r="D80" s="186" t="s">
        <v>148</v>
      </c>
      <c r="E80" s="160">
        <v>1.4</v>
      </c>
      <c r="F80" s="188">
        <f t="shared" si="9"/>
        <v>0.04</v>
      </c>
      <c r="G80" s="183">
        <f t="shared" si="10"/>
        <v>40000</v>
      </c>
      <c r="I80" s="375"/>
      <c r="J80" s="356">
        <v>5366050936</v>
      </c>
      <c r="K80" s="358" t="s">
        <v>51</v>
      </c>
      <c r="L80" s="382">
        <v>0</v>
      </c>
      <c r="M80" s="382">
        <v>928.57142857142856</v>
      </c>
      <c r="N80" s="382">
        <v>935.48387096774195</v>
      </c>
      <c r="O80" s="382">
        <v>1033.3333333333333</v>
      </c>
      <c r="P80" s="382">
        <v>741.93548387096769</v>
      </c>
      <c r="Q80" s="382">
        <v>300</v>
      </c>
      <c r="R80" s="382">
        <v>290.32258064516128</v>
      </c>
      <c r="S80" s="382">
        <v>387.09677419354841</v>
      </c>
      <c r="T80" s="382">
        <v>666.66666666666663</v>
      </c>
      <c r="U80" s="382">
        <v>1322.5806451612902</v>
      </c>
      <c r="V80" s="382">
        <v>1033.3333333333333</v>
      </c>
      <c r="W80" s="382">
        <v>838.70967741935488</v>
      </c>
      <c r="X80" s="163"/>
    </row>
    <row r="81" spans="1:24" ht="15.75" thickBot="1">
      <c r="A81" s="345"/>
      <c r="B81" s="345"/>
      <c r="C81" s="345"/>
      <c r="D81" s="345"/>
      <c r="E81" s="345"/>
      <c r="F81" s="345"/>
      <c r="G81" s="345"/>
      <c r="I81" s="376"/>
      <c r="J81" s="356">
        <v>2052150585</v>
      </c>
      <c r="K81" s="358" t="s">
        <v>52</v>
      </c>
      <c r="L81" s="382">
        <v>1193.5483870967741</v>
      </c>
      <c r="M81" s="382">
        <v>5642.8571428571431</v>
      </c>
      <c r="N81" s="382">
        <v>5677.4193548387093</v>
      </c>
      <c r="O81" s="382">
        <v>6333.333333333333</v>
      </c>
      <c r="P81" s="382">
        <v>4870.9677419354839</v>
      </c>
      <c r="Q81" s="382">
        <v>5400</v>
      </c>
      <c r="R81" s="382">
        <v>8806.4516129032254</v>
      </c>
      <c r="S81" s="382">
        <v>10161.290322580646</v>
      </c>
      <c r="T81" s="382">
        <v>18600</v>
      </c>
      <c r="U81" s="382">
        <v>14645.161290322581</v>
      </c>
      <c r="V81" s="382">
        <v>8300</v>
      </c>
      <c r="W81" s="382">
        <v>6096.7741935483873</v>
      </c>
      <c r="X81" s="163"/>
    </row>
    <row r="82" spans="1:24" ht="15.75" thickBot="1">
      <c r="A82" s="390" t="s">
        <v>113</v>
      </c>
      <c r="B82" s="391"/>
      <c r="C82" s="391"/>
      <c r="D82" s="391"/>
      <c r="E82" s="391"/>
      <c r="F82" s="391"/>
      <c r="G82" s="392"/>
      <c r="I82" s="375"/>
      <c r="J82" s="356">
        <v>8635150066</v>
      </c>
      <c r="K82" s="358" t="s">
        <v>53</v>
      </c>
      <c r="L82" s="382">
        <v>96.774193548387103</v>
      </c>
      <c r="M82" s="382">
        <v>107.14285714285714</v>
      </c>
      <c r="N82" s="382">
        <v>96.774193548387103</v>
      </c>
      <c r="O82" s="382">
        <v>100</v>
      </c>
      <c r="P82" s="382">
        <v>1000</v>
      </c>
      <c r="Q82" s="382">
        <v>466.66666666666669</v>
      </c>
      <c r="R82" s="382">
        <v>3967.7419354838707</v>
      </c>
      <c r="S82" s="382">
        <v>290.32258064516128</v>
      </c>
      <c r="T82" s="382">
        <v>566.66666666666663</v>
      </c>
      <c r="U82" s="382">
        <v>612.90322580645159</v>
      </c>
      <c r="V82" s="382">
        <v>1000</v>
      </c>
      <c r="W82" s="382">
        <v>870.9677419354839</v>
      </c>
      <c r="X82" s="163"/>
    </row>
    <row r="83" spans="1:24" ht="45">
      <c r="A83" s="184" t="s">
        <v>111</v>
      </c>
      <c r="B83" s="169" t="s">
        <v>75</v>
      </c>
      <c r="C83" s="169" t="s">
        <v>106</v>
      </c>
      <c r="D83" s="199" t="s">
        <v>112</v>
      </c>
      <c r="E83" s="202" t="s">
        <v>108</v>
      </c>
      <c r="F83" s="165" t="s">
        <v>101</v>
      </c>
      <c r="G83" s="196" t="s">
        <v>114</v>
      </c>
      <c r="I83" s="375"/>
      <c r="J83" s="357">
        <v>6663150208</v>
      </c>
      <c r="K83" s="358" t="s">
        <v>54</v>
      </c>
      <c r="L83" s="382">
        <v>967.74193548387098</v>
      </c>
      <c r="M83" s="382">
        <v>571.42857142857144</v>
      </c>
      <c r="N83" s="382">
        <v>580.64516129032256</v>
      </c>
      <c r="O83" s="382">
        <v>566.66666666666663</v>
      </c>
      <c r="P83" s="382">
        <v>612.90322580645159</v>
      </c>
      <c r="Q83" s="382">
        <v>400</v>
      </c>
      <c r="R83" s="382">
        <v>387.09677419354841</v>
      </c>
      <c r="S83" s="382">
        <v>387.09677419354841</v>
      </c>
      <c r="T83" s="382">
        <v>566.66666666666663</v>
      </c>
      <c r="U83" s="382">
        <v>677.41935483870964</v>
      </c>
      <c r="V83" s="382">
        <v>733.33333333333337</v>
      </c>
      <c r="W83" s="382">
        <v>709.67741935483866</v>
      </c>
      <c r="X83" s="163"/>
    </row>
    <row r="84" spans="1:24">
      <c r="A84" s="198">
        <v>44302</v>
      </c>
      <c r="B84" s="346">
        <v>48</v>
      </c>
      <c r="C84" s="205" t="s">
        <v>142</v>
      </c>
      <c r="D84" s="347">
        <f>(L93*31)+(M93*17)</f>
        <v>725178.57142857148</v>
      </c>
      <c r="E84" s="347">
        <f>D84/B84</f>
        <v>15107.886904761906</v>
      </c>
      <c r="F84" s="172">
        <f>G74-E84</f>
        <v>-9899.5535714285725</v>
      </c>
      <c r="G84" s="193">
        <f>L93*48</f>
        <v>520258.06451612909</v>
      </c>
      <c r="I84" s="375"/>
      <c r="J84" s="356">
        <v>6068150813</v>
      </c>
      <c r="K84" s="358" t="s">
        <v>55</v>
      </c>
      <c r="L84" s="382">
        <v>64.516129032258064</v>
      </c>
      <c r="M84" s="382">
        <v>250</v>
      </c>
      <c r="N84" s="382">
        <v>258.06451612903226</v>
      </c>
      <c r="O84" s="382">
        <v>266.66666666666669</v>
      </c>
      <c r="P84" s="382">
        <v>225.80645161290323</v>
      </c>
      <c r="Q84" s="382">
        <v>433.33333333333331</v>
      </c>
      <c r="R84" s="382">
        <v>741.93548387096769</v>
      </c>
      <c r="S84" s="382">
        <v>451.61290322580646</v>
      </c>
      <c r="T84" s="382">
        <v>1233.3333333333333</v>
      </c>
      <c r="U84" s="382">
        <v>2516.1290322580644</v>
      </c>
      <c r="V84" s="382">
        <v>1000</v>
      </c>
      <c r="W84" s="382">
        <v>677.41935483870964</v>
      </c>
      <c r="X84" s="163"/>
    </row>
    <row r="85" spans="1:24">
      <c r="A85" s="198">
        <v>44365</v>
      </c>
      <c r="B85" s="346">
        <v>67</v>
      </c>
      <c r="C85" s="344" t="s">
        <v>143</v>
      </c>
      <c r="D85" s="347">
        <f>(M93*11)+(N93*31)+(O93*25)</f>
        <v>1619988.0952380951</v>
      </c>
      <c r="E85" s="347">
        <f t="shared" ref="E85:E90" si="12">D85/B85</f>
        <v>24178.926794598436</v>
      </c>
      <c r="F85" s="189">
        <f>G75-E85</f>
        <v>16418.088130774708</v>
      </c>
      <c r="G85" s="193">
        <f>N93*67</f>
        <v>1629612.9032258063</v>
      </c>
      <c r="I85" s="375"/>
      <c r="J85" s="357">
        <v>5068150812</v>
      </c>
      <c r="K85" s="358" t="s">
        <v>56</v>
      </c>
      <c r="L85" s="382">
        <v>64.516129032258064</v>
      </c>
      <c r="M85" s="382">
        <v>142.85714285714286</v>
      </c>
      <c r="N85" s="382">
        <v>193.54838709677421</v>
      </c>
      <c r="O85" s="382">
        <v>166.66666666666666</v>
      </c>
      <c r="P85" s="382">
        <v>193.54838709677421</v>
      </c>
      <c r="Q85" s="382">
        <v>66.666666666666671</v>
      </c>
      <c r="R85" s="382">
        <v>64.516129032258064</v>
      </c>
      <c r="S85" s="382">
        <v>64.516129032258064</v>
      </c>
      <c r="T85" s="382">
        <v>166.66666666666666</v>
      </c>
      <c r="U85" s="382">
        <v>225.80645161290323</v>
      </c>
      <c r="V85" s="382">
        <v>333.33333333333331</v>
      </c>
      <c r="W85" s="382">
        <v>225.80645161290323</v>
      </c>
      <c r="X85" s="163"/>
    </row>
    <row r="86" spans="1:24">
      <c r="A86" s="198">
        <v>44420</v>
      </c>
      <c r="B86" s="346">
        <v>59</v>
      </c>
      <c r="C86" s="344" t="s">
        <v>144</v>
      </c>
      <c r="D86" s="347">
        <f>(O93*5)+(P93*31)+(Q93*23)</f>
        <v>1479299.9999999998</v>
      </c>
      <c r="E86" s="347">
        <f t="shared" ref="E86:E87" si="13">D86/B86</f>
        <v>25072.881355932201</v>
      </c>
      <c r="F86" s="189">
        <f t="shared" ref="F86:F87" si="14">G76-E86</f>
        <v>9842.3728813559355</v>
      </c>
      <c r="G86" s="193">
        <f>P93*59</f>
        <v>1402677.4193548383</v>
      </c>
      <c r="I86" s="375"/>
      <c r="J86" s="357">
        <v>2364150700</v>
      </c>
      <c r="K86" s="358" t="s">
        <v>57</v>
      </c>
      <c r="L86" s="382">
        <v>1096.7741935483871</v>
      </c>
      <c r="M86" s="382">
        <v>1178.5714285714287</v>
      </c>
      <c r="N86" s="382">
        <v>1064.516129032258</v>
      </c>
      <c r="O86" s="382">
        <v>866.66666666666663</v>
      </c>
      <c r="P86" s="382">
        <v>1483.8709677419354</v>
      </c>
      <c r="Q86" s="382">
        <v>766.66666666666663</v>
      </c>
      <c r="R86" s="382">
        <v>1290.3225806451612</v>
      </c>
      <c r="S86" s="382">
        <v>1322.5806451612902</v>
      </c>
      <c r="T86" s="382">
        <v>2066.6666666666665</v>
      </c>
      <c r="U86" s="382">
        <v>1838.7096774193549</v>
      </c>
      <c r="V86" s="382">
        <v>1433.3333333333333</v>
      </c>
      <c r="W86" s="382">
        <v>1548.3870967741937</v>
      </c>
      <c r="X86" s="163"/>
    </row>
    <row r="87" spans="1:24">
      <c r="A87" s="198">
        <v>44481</v>
      </c>
      <c r="B87" s="346">
        <v>59</v>
      </c>
      <c r="C87" s="344" t="s">
        <v>145</v>
      </c>
      <c r="D87" s="347">
        <f>(Q93*7)+(R93*31)+(S93*21)</f>
        <v>2342436.5591397844</v>
      </c>
      <c r="E87" s="347">
        <f t="shared" si="13"/>
        <v>39702.314561691259</v>
      </c>
      <c r="F87" s="172">
        <f t="shared" si="14"/>
        <v>-4787.0603244031226</v>
      </c>
      <c r="G87" s="193">
        <f>R93*132</f>
        <v>5352387.0967741935</v>
      </c>
      <c r="I87" s="375"/>
      <c r="J87" s="357">
        <v>1364150699</v>
      </c>
      <c r="K87" s="358" t="s">
        <v>58</v>
      </c>
      <c r="L87" s="382">
        <v>548.38709677419354</v>
      </c>
      <c r="M87" s="382">
        <v>892.85714285714289</v>
      </c>
      <c r="N87" s="382">
        <v>903.22580645161293</v>
      </c>
      <c r="O87" s="382">
        <v>866.66666666666663</v>
      </c>
      <c r="P87" s="382">
        <v>677.41935483870964</v>
      </c>
      <c r="Q87" s="382">
        <v>3133.3333333333335</v>
      </c>
      <c r="R87" s="382">
        <v>4354.8387096774195</v>
      </c>
      <c r="S87" s="382">
        <v>5387.0967741935483</v>
      </c>
      <c r="T87" s="382">
        <v>10900</v>
      </c>
      <c r="U87" s="382">
        <v>6129.0322580645161</v>
      </c>
      <c r="V87" s="382">
        <v>2766.6666666666665</v>
      </c>
      <c r="W87" s="382">
        <v>1806.4516129032259</v>
      </c>
      <c r="X87" s="163"/>
    </row>
    <row r="88" spans="1:24">
      <c r="A88" s="198">
        <v>44614</v>
      </c>
      <c r="B88" s="346">
        <v>132</v>
      </c>
      <c r="C88" s="179" t="s">
        <v>146</v>
      </c>
      <c r="D88" s="201">
        <f>(S93*10)+(T93*30)+(U93*31)+(V93*30)+(W93*31)</f>
        <v>7889096.7741935477</v>
      </c>
      <c r="E88" s="347">
        <f t="shared" si="12"/>
        <v>59765.884652981418</v>
      </c>
      <c r="F88" s="172">
        <f>G78-E88</f>
        <v>-17720.430107526874</v>
      </c>
      <c r="G88" s="193">
        <f>T93*132</f>
        <v>9671199.9999999981</v>
      </c>
      <c r="I88" s="375"/>
      <c r="J88" s="356">
        <v>2068150809</v>
      </c>
      <c r="K88" s="358" t="s">
        <v>59</v>
      </c>
      <c r="L88" s="382">
        <v>0</v>
      </c>
      <c r="M88" s="382">
        <v>0</v>
      </c>
      <c r="N88" s="382">
        <v>32.258064516129032</v>
      </c>
      <c r="O88" s="382">
        <v>33.333333333333336</v>
      </c>
      <c r="P88" s="382">
        <v>64.516129032258064</v>
      </c>
      <c r="Q88" s="382">
        <v>0</v>
      </c>
      <c r="R88" s="382">
        <v>32.258064516129032</v>
      </c>
      <c r="S88" s="382">
        <v>32.258064516129032</v>
      </c>
      <c r="T88" s="382">
        <v>0</v>
      </c>
      <c r="U88" s="382">
        <v>32.258064516129032</v>
      </c>
      <c r="V88" s="382">
        <v>33.333333333333336</v>
      </c>
      <c r="W88" s="382">
        <v>32.258064516129032</v>
      </c>
      <c r="X88" s="163"/>
    </row>
    <row r="89" spans="1:24">
      <c r="A89" s="198">
        <v>44635</v>
      </c>
      <c r="B89" s="346">
        <v>97</v>
      </c>
      <c r="C89" s="344" t="s">
        <v>147</v>
      </c>
      <c r="D89" s="347">
        <f>(S93*10)+(T93*30)+(U93*31)+(V93*26)</f>
        <v>6234096.7741935477</v>
      </c>
      <c r="E89" s="347">
        <f t="shared" si="12"/>
        <v>64269.038909211835</v>
      </c>
      <c r="F89" s="172">
        <f>G79-E89</f>
        <v>-24269.038909211835</v>
      </c>
      <c r="G89" s="193">
        <f>T93*97</f>
        <v>7106866.666666666</v>
      </c>
      <c r="I89" s="375"/>
      <c r="J89" s="356">
        <v>5756250297</v>
      </c>
      <c r="K89" s="358" t="s">
        <v>60</v>
      </c>
      <c r="L89" s="382">
        <v>4354.8387096774195</v>
      </c>
      <c r="M89" s="382">
        <v>35.714285714285715</v>
      </c>
      <c r="N89" s="382">
        <v>64.516129032258064</v>
      </c>
      <c r="O89" s="382">
        <v>66.666666666666671</v>
      </c>
      <c r="P89" s="382">
        <v>1290.3225806451612</v>
      </c>
      <c r="Q89" s="382">
        <v>8233.3333333333339</v>
      </c>
      <c r="R89" s="382">
        <v>11612.903225806451</v>
      </c>
      <c r="S89" s="382">
        <v>13096.774193548386</v>
      </c>
      <c r="T89" s="382">
        <v>20500</v>
      </c>
      <c r="U89" s="382">
        <v>21741.935483870966</v>
      </c>
      <c r="V89" s="382">
        <v>15200</v>
      </c>
      <c r="W89" s="382">
        <v>14322.58064516129</v>
      </c>
      <c r="X89" s="163"/>
    </row>
    <row r="90" spans="1:24">
      <c r="A90" s="198">
        <v>44635</v>
      </c>
      <c r="B90" s="346">
        <v>35</v>
      </c>
      <c r="C90" s="344" t="s">
        <v>141</v>
      </c>
      <c r="D90" s="347">
        <f>(M117*35)</f>
        <v>1615000</v>
      </c>
      <c r="E90" s="347">
        <f t="shared" si="12"/>
        <v>46142.857142857145</v>
      </c>
      <c r="F90" s="172">
        <f>G80-E90</f>
        <v>-6142.8571428571449</v>
      </c>
      <c r="G90" s="193">
        <f>(AVERAGE(V93:W93))*35</f>
        <v>1757338.7096774192</v>
      </c>
      <c r="I90" s="375"/>
      <c r="J90" s="357">
        <v>1665911804</v>
      </c>
      <c r="K90" s="358" t="s">
        <v>61</v>
      </c>
      <c r="L90" s="382">
        <v>96.774193548387103</v>
      </c>
      <c r="M90" s="382">
        <v>678.57142857142856</v>
      </c>
      <c r="N90" s="382">
        <v>96.774193548387103</v>
      </c>
      <c r="O90" s="382">
        <v>300</v>
      </c>
      <c r="P90" s="382">
        <v>161.29032258064515</v>
      </c>
      <c r="Q90" s="382">
        <v>100</v>
      </c>
      <c r="R90" s="382">
        <v>129.03225806451613</v>
      </c>
      <c r="S90" s="382">
        <v>161.29032258064515</v>
      </c>
      <c r="T90" s="382">
        <v>200</v>
      </c>
      <c r="U90" s="382">
        <v>193.54838709677421</v>
      </c>
      <c r="V90" s="382">
        <v>466.66666666666669</v>
      </c>
      <c r="W90" s="382">
        <v>354.83870967741933</v>
      </c>
      <c r="X90" s="163"/>
    </row>
    <row r="91" spans="1:24" ht="15.75" thickBot="1">
      <c r="A91" s="192"/>
      <c r="B91" s="161"/>
      <c r="C91" s="161"/>
      <c r="D91" s="161"/>
      <c r="E91" s="161"/>
      <c r="F91" s="170"/>
      <c r="G91" s="166"/>
      <c r="I91" s="375"/>
      <c r="J91" s="357">
        <v>3054467971</v>
      </c>
      <c r="K91" s="358" t="s">
        <v>62</v>
      </c>
      <c r="L91" s="382">
        <v>161.29032258064515</v>
      </c>
      <c r="M91" s="382">
        <v>357.14285714285717</v>
      </c>
      <c r="N91" s="382">
        <v>419.35483870967744</v>
      </c>
      <c r="O91" s="382">
        <v>433.33333333333331</v>
      </c>
      <c r="P91" s="382">
        <v>451.61290322580646</v>
      </c>
      <c r="Q91" s="382">
        <v>366.66666666666669</v>
      </c>
      <c r="R91" s="382">
        <v>419.35483870967744</v>
      </c>
      <c r="S91" s="382">
        <v>483.87096774193549</v>
      </c>
      <c r="T91" s="382">
        <v>700</v>
      </c>
      <c r="U91" s="382">
        <v>774.19354838709683</v>
      </c>
      <c r="V91" s="382">
        <v>1400</v>
      </c>
      <c r="W91" s="382">
        <v>709.67741935483866</v>
      </c>
      <c r="X91" s="163"/>
    </row>
    <row r="92" spans="1:24">
      <c r="A92" s="345"/>
      <c r="B92" s="345"/>
      <c r="C92" s="345"/>
      <c r="D92" s="345"/>
      <c r="E92" s="345"/>
      <c r="F92" s="345"/>
      <c r="G92" s="345"/>
      <c r="I92" s="375"/>
      <c r="J92" s="357">
        <v>3380811569</v>
      </c>
      <c r="K92" s="358" t="s">
        <v>63</v>
      </c>
      <c r="L92" s="382">
        <v>0</v>
      </c>
      <c r="M92" s="382">
        <v>0</v>
      </c>
      <c r="N92" s="382">
        <v>0</v>
      </c>
      <c r="O92" s="382">
        <v>0</v>
      </c>
      <c r="P92" s="382">
        <v>0</v>
      </c>
      <c r="Q92" s="382">
        <v>0</v>
      </c>
      <c r="R92" s="382">
        <v>32.258064516129032</v>
      </c>
      <c r="S92" s="382">
        <v>0</v>
      </c>
      <c r="T92" s="382">
        <v>0</v>
      </c>
      <c r="U92" s="382">
        <v>0</v>
      </c>
      <c r="V92" s="382">
        <v>0</v>
      </c>
      <c r="W92" s="382">
        <v>0</v>
      </c>
      <c r="X92" s="163"/>
    </row>
    <row r="93" spans="1:24">
      <c r="A93" s="345"/>
      <c r="B93" s="345"/>
      <c r="C93" s="345"/>
      <c r="D93" s="345"/>
      <c r="E93" s="345"/>
      <c r="F93" s="345"/>
      <c r="G93" s="345"/>
      <c r="I93" s="343"/>
      <c r="J93" s="343"/>
      <c r="K93" s="343"/>
      <c r="L93" s="368">
        <v>10838.709677419356</v>
      </c>
      <c r="M93" s="368">
        <v>22892.857142857141</v>
      </c>
      <c r="N93" s="368">
        <v>24322.580645161288</v>
      </c>
      <c r="O93" s="368">
        <v>24566.666666666672</v>
      </c>
      <c r="P93" s="368">
        <v>23774.193548387091</v>
      </c>
      <c r="Q93" s="368">
        <v>26933.333333333332</v>
      </c>
      <c r="R93" s="368">
        <v>40548.38709677419</v>
      </c>
      <c r="S93" s="368">
        <v>42709.677419354834</v>
      </c>
      <c r="T93" s="368">
        <v>73266.666666666657</v>
      </c>
      <c r="U93" s="368">
        <v>71129.032258064515</v>
      </c>
      <c r="V93" s="368">
        <v>53999.999999999993</v>
      </c>
      <c r="W93" s="368">
        <v>46419.354838709674</v>
      </c>
      <c r="X93" s="163"/>
    </row>
    <row r="94" spans="1:24">
      <c r="A94" s="345"/>
      <c r="B94" s="345"/>
      <c r="C94" s="345"/>
      <c r="D94" s="345"/>
      <c r="E94" s="345"/>
      <c r="F94" s="345"/>
      <c r="G94" s="345"/>
      <c r="I94" s="343"/>
      <c r="J94" s="343"/>
      <c r="K94" s="343"/>
      <c r="L94" s="343"/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45"/>
      <c r="X94" s="163"/>
    </row>
    <row r="95" spans="1:24" ht="15.75" thickBot="1">
      <c r="A95" s="345"/>
      <c r="B95" s="345"/>
      <c r="C95" s="345"/>
      <c r="D95" s="345"/>
      <c r="E95" s="345"/>
      <c r="F95" s="345"/>
      <c r="G95" s="345"/>
      <c r="I95" s="361"/>
      <c r="J95" s="361"/>
      <c r="K95" s="361"/>
      <c r="L95" s="361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180"/>
    </row>
    <row r="96" spans="1:24">
      <c r="A96" s="393" t="s">
        <v>110</v>
      </c>
      <c r="B96" s="394"/>
      <c r="C96" s="394"/>
      <c r="D96" s="394"/>
      <c r="E96" s="394"/>
      <c r="F96" s="394"/>
      <c r="G96" s="395"/>
      <c r="I96" s="369" t="s">
        <v>73</v>
      </c>
      <c r="J96" s="374">
        <v>2022</v>
      </c>
      <c r="K96" s="377"/>
      <c r="L96" s="377"/>
      <c r="M96" s="377"/>
      <c r="N96" s="377"/>
      <c r="O96" s="377"/>
      <c r="P96" s="377"/>
      <c r="Q96" s="377"/>
      <c r="R96" s="377"/>
      <c r="S96" s="377"/>
      <c r="T96" s="377"/>
      <c r="U96" s="377"/>
      <c r="V96" s="377"/>
      <c r="W96" s="377"/>
      <c r="X96" s="211"/>
    </row>
    <row r="97" spans="1:24" ht="45">
      <c r="A97" s="164" t="s">
        <v>104</v>
      </c>
      <c r="B97" s="346" t="s">
        <v>75</v>
      </c>
      <c r="C97" s="346" t="s">
        <v>105</v>
      </c>
      <c r="D97" s="346" t="s">
        <v>106</v>
      </c>
      <c r="E97" s="344" t="s">
        <v>107</v>
      </c>
      <c r="F97" s="346" t="s">
        <v>108</v>
      </c>
      <c r="G97" s="194" t="s">
        <v>109</v>
      </c>
      <c r="I97" s="379"/>
      <c r="J97" s="350" t="s">
        <v>31</v>
      </c>
      <c r="K97" s="351" t="s">
        <v>32</v>
      </c>
      <c r="L97" s="352" t="s">
        <v>33</v>
      </c>
      <c r="M97" s="353" t="s">
        <v>34</v>
      </c>
      <c r="N97" s="354" t="s">
        <v>35</v>
      </c>
      <c r="O97" s="354" t="s">
        <v>36</v>
      </c>
      <c r="P97" s="354" t="s">
        <v>37</v>
      </c>
      <c r="Q97" s="354" t="s">
        <v>38</v>
      </c>
      <c r="R97" s="354" t="s">
        <v>39</v>
      </c>
      <c r="S97" s="354" t="s">
        <v>40</v>
      </c>
      <c r="T97" s="354" t="s">
        <v>41</v>
      </c>
      <c r="U97" s="354" t="s">
        <v>42</v>
      </c>
      <c r="V97" s="354" t="s">
        <v>43</v>
      </c>
      <c r="W97" s="354" t="s">
        <v>44</v>
      </c>
      <c r="X97" s="211"/>
    </row>
    <row r="98" spans="1:24">
      <c r="A98" s="198">
        <v>44685</v>
      </c>
      <c r="B98" s="346">
        <v>68</v>
      </c>
      <c r="C98" s="344" t="s">
        <v>148</v>
      </c>
      <c r="D98" s="344" t="s">
        <v>154</v>
      </c>
      <c r="E98" s="344">
        <v>3.2</v>
      </c>
      <c r="F98" s="346">
        <f t="shared" ref="F98:F103" si="15">E98/B98</f>
        <v>4.7058823529411764E-2</v>
      </c>
      <c r="G98" s="162">
        <f t="shared" ref="G98:G103" si="16">F98*1000000</f>
        <v>47058.823529411762</v>
      </c>
      <c r="I98" s="375"/>
      <c r="J98" s="355">
        <v>7534810685</v>
      </c>
      <c r="K98" s="358" t="s">
        <v>45</v>
      </c>
      <c r="L98" s="382">
        <v>483.87096774193549</v>
      </c>
      <c r="M98" s="382">
        <v>535.71428571428567</v>
      </c>
      <c r="N98" s="382">
        <v>516.12903225806451</v>
      </c>
      <c r="O98" s="382">
        <v>566.66666666666663</v>
      </c>
      <c r="P98" s="382">
        <v>580.64516129032256</v>
      </c>
      <c r="Q98" s="382">
        <v>333.33333333333331</v>
      </c>
      <c r="R98" s="382">
        <v>677.41935483870964</v>
      </c>
      <c r="S98" s="382">
        <v>612.90322580645159</v>
      </c>
      <c r="T98" s="382">
        <v>533.33333333333337</v>
      </c>
      <c r="U98" s="382">
        <v>419.35483870967744</v>
      </c>
      <c r="V98" s="382">
        <v>500</v>
      </c>
      <c r="W98" s="382">
        <v>580.64516129032256</v>
      </c>
      <c r="X98" s="211"/>
    </row>
    <row r="99" spans="1:24">
      <c r="A99" s="198">
        <v>44775</v>
      </c>
      <c r="B99" s="346">
        <v>73</v>
      </c>
      <c r="C99" s="344" t="s">
        <v>149</v>
      </c>
      <c r="D99" s="344" t="s">
        <v>155</v>
      </c>
      <c r="E99" s="344">
        <v>3.43</v>
      </c>
      <c r="F99" s="346">
        <f t="shared" si="15"/>
        <v>4.6986301369863016E-2</v>
      </c>
      <c r="G99" s="162">
        <f t="shared" si="16"/>
        <v>46986.301369863017</v>
      </c>
      <c r="I99" s="375"/>
      <c r="J99" s="355">
        <v>4366050935</v>
      </c>
      <c r="K99" s="358" t="s">
        <v>46</v>
      </c>
      <c r="L99" s="382">
        <v>290.32258064516128</v>
      </c>
      <c r="M99" s="382">
        <v>2464.2857142857142</v>
      </c>
      <c r="N99" s="382">
        <v>2032.258064516129</v>
      </c>
      <c r="O99" s="382">
        <v>2566.6666666666665</v>
      </c>
      <c r="P99" s="382">
        <v>903.22580645161293</v>
      </c>
      <c r="Q99" s="382">
        <v>66.666666666666671</v>
      </c>
      <c r="R99" s="382">
        <v>32.258064516129032</v>
      </c>
      <c r="S99" s="382">
        <v>96.774193548387103</v>
      </c>
      <c r="T99" s="382">
        <v>1033.3333333333333</v>
      </c>
      <c r="U99" s="382">
        <v>1387.0967741935483</v>
      </c>
      <c r="V99" s="382">
        <v>1400</v>
      </c>
      <c r="W99" s="382">
        <v>1322.5806451612902</v>
      </c>
      <c r="X99" s="211"/>
    </row>
    <row r="100" spans="1:24">
      <c r="A100" s="198">
        <v>44845</v>
      </c>
      <c r="B100" s="346">
        <v>73</v>
      </c>
      <c r="C100" s="344" t="s">
        <v>150</v>
      </c>
      <c r="D100" s="344" t="s">
        <v>156</v>
      </c>
      <c r="E100" s="344">
        <v>1.02</v>
      </c>
      <c r="F100" s="346">
        <f t="shared" si="15"/>
        <v>1.3972602739726028E-2</v>
      </c>
      <c r="G100" s="162">
        <f t="shared" si="16"/>
        <v>13972.602739726028</v>
      </c>
      <c r="I100" s="375"/>
      <c r="J100" s="355">
        <v>6366050937</v>
      </c>
      <c r="K100" s="358" t="s">
        <v>47</v>
      </c>
      <c r="L100" s="382">
        <v>290.32258064516128</v>
      </c>
      <c r="M100" s="382">
        <v>714.28571428571433</v>
      </c>
      <c r="N100" s="382">
        <v>548.38709677419354</v>
      </c>
      <c r="O100" s="382">
        <v>800</v>
      </c>
      <c r="P100" s="382">
        <v>483.87096774193549</v>
      </c>
      <c r="Q100" s="382">
        <v>400</v>
      </c>
      <c r="R100" s="382">
        <v>354.83870967741933</v>
      </c>
      <c r="S100" s="382">
        <v>290.32258064516128</v>
      </c>
      <c r="T100" s="382">
        <v>633.33333333333337</v>
      </c>
      <c r="U100" s="382">
        <v>612.90322580645159</v>
      </c>
      <c r="V100" s="382">
        <v>800</v>
      </c>
      <c r="W100" s="382">
        <v>645.16129032258061</v>
      </c>
      <c r="X100" s="211"/>
    </row>
    <row r="101" spans="1:24">
      <c r="A101" s="198">
        <v>44901</v>
      </c>
      <c r="B101" s="346">
        <v>63</v>
      </c>
      <c r="C101" s="344" t="s">
        <v>151</v>
      </c>
      <c r="D101" s="344" t="s">
        <v>157</v>
      </c>
      <c r="E101" s="344">
        <v>2.02</v>
      </c>
      <c r="F101" s="346">
        <f t="shared" si="15"/>
        <v>3.2063492063492065E-2</v>
      </c>
      <c r="G101" s="162">
        <f t="shared" si="16"/>
        <v>32063.492063492064</v>
      </c>
      <c r="I101" s="375"/>
      <c r="J101" s="355">
        <v>7366050938</v>
      </c>
      <c r="K101" s="358" t="s">
        <v>48</v>
      </c>
      <c r="L101" s="382">
        <v>645.16129032258061</v>
      </c>
      <c r="M101" s="382">
        <v>1142.8571428571429</v>
      </c>
      <c r="N101" s="382">
        <v>1000</v>
      </c>
      <c r="O101" s="382">
        <v>1100</v>
      </c>
      <c r="P101" s="382">
        <v>903.22580645161293</v>
      </c>
      <c r="Q101" s="382">
        <v>1366.6666666666667</v>
      </c>
      <c r="R101" s="382">
        <v>1483.8709677419354</v>
      </c>
      <c r="S101" s="382">
        <v>1548.3870967741937</v>
      </c>
      <c r="T101" s="382">
        <v>1700</v>
      </c>
      <c r="U101" s="382">
        <v>1677.4193548387098</v>
      </c>
      <c r="V101" s="382">
        <v>1600</v>
      </c>
      <c r="W101" s="382">
        <v>1548.3870967741937</v>
      </c>
      <c r="X101" s="211"/>
    </row>
    <row r="102" spans="1:24">
      <c r="A102" s="198">
        <v>44978</v>
      </c>
      <c r="B102" s="346">
        <v>70</v>
      </c>
      <c r="C102" s="344" t="s">
        <v>152</v>
      </c>
      <c r="D102" s="344" t="s">
        <v>158</v>
      </c>
      <c r="E102" s="344">
        <v>1.54</v>
      </c>
      <c r="F102" s="346">
        <f t="shared" si="15"/>
        <v>2.2000000000000002E-2</v>
      </c>
      <c r="G102" s="162">
        <f t="shared" si="16"/>
        <v>22000.000000000004</v>
      </c>
      <c r="I102" s="375"/>
      <c r="J102" s="355">
        <v>3366050934</v>
      </c>
      <c r="K102" s="358" t="s">
        <v>49</v>
      </c>
      <c r="L102" s="382">
        <v>774.19354838709683</v>
      </c>
      <c r="M102" s="382">
        <v>5392.8571428571431</v>
      </c>
      <c r="N102" s="382">
        <v>4354.8387096774195</v>
      </c>
      <c r="O102" s="382">
        <v>4666.666666666667</v>
      </c>
      <c r="P102" s="382">
        <v>2290.3225806451615</v>
      </c>
      <c r="Q102" s="382">
        <v>1166.6666666666667</v>
      </c>
      <c r="R102" s="382">
        <v>451.61290322580646</v>
      </c>
      <c r="S102" s="382">
        <v>1741.9354838709678</v>
      </c>
      <c r="T102" s="382">
        <v>4333.333333333333</v>
      </c>
      <c r="U102" s="382">
        <v>5677.4193548387093</v>
      </c>
      <c r="V102" s="382">
        <v>5333.333333333333</v>
      </c>
      <c r="W102" s="382">
        <v>5774.1935483870966</v>
      </c>
      <c r="X102" s="163"/>
    </row>
    <row r="103" spans="1:24" ht="15.75" thickBot="1">
      <c r="A103" s="176">
        <v>44999</v>
      </c>
      <c r="B103" s="188">
        <v>18</v>
      </c>
      <c r="C103" s="160" t="s">
        <v>153</v>
      </c>
      <c r="D103" s="160" t="s">
        <v>159</v>
      </c>
      <c r="E103" s="160">
        <v>0.4</v>
      </c>
      <c r="F103" s="188">
        <f t="shared" si="15"/>
        <v>2.2222222222222223E-2</v>
      </c>
      <c r="G103" s="183">
        <f t="shared" si="16"/>
        <v>22222.222222222223</v>
      </c>
      <c r="I103" s="375"/>
      <c r="J103" s="356">
        <v>5581150299</v>
      </c>
      <c r="K103" s="358" t="s">
        <v>50</v>
      </c>
      <c r="L103" s="382">
        <v>8677.4193548387102</v>
      </c>
      <c r="M103" s="382">
        <v>11035.714285714286</v>
      </c>
      <c r="N103" s="382">
        <v>9580.645161290322</v>
      </c>
      <c r="O103" s="382">
        <v>11433.333333333334</v>
      </c>
      <c r="P103" s="382">
        <v>8677.4193548387102</v>
      </c>
      <c r="Q103" s="382">
        <v>1633.3333333333333</v>
      </c>
      <c r="R103" s="382">
        <v>3322.5806451612902</v>
      </c>
      <c r="S103" s="382">
        <v>3483.8709677419356</v>
      </c>
      <c r="T103" s="382">
        <v>5366.666666666667</v>
      </c>
      <c r="U103" s="382">
        <v>3935.483870967742</v>
      </c>
      <c r="V103" s="382">
        <v>4200</v>
      </c>
      <c r="W103" s="382">
        <v>4096.7741935483873</v>
      </c>
      <c r="X103" s="163"/>
    </row>
    <row r="104" spans="1:24" ht="15.75" thickBot="1">
      <c r="A104" s="345"/>
      <c r="B104" s="345"/>
      <c r="C104" s="345"/>
      <c r="D104" s="345"/>
      <c r="E104" s="345"/>
      <c r="F104" s="345"/>
      <c r="G104" s="345"/>
      <c r="I104" s="375"/>
      <c r="J104" s="356">
        <v>5366050936</v>
      </c>
      <c r="K104" s="358" t="s">
        <v>51</v>
      </c>
      <c r="L104" s="382">
        <v>645.16129032258061</v>
      </c>
      <c r="M104" s="382">
        <v>892.85714285714289</v>
      </c>
      <c r="N104" s="382">
        <v>741.93548387096769</v>
      </c>
      <c r="O104" s="382">
        <v>933.33333333333337</v>
      </c>
      <c r="P104" s="382">
        <v>612.90322580645159</v>
      </c>
      <c r="Q104" s="382">
        <v>266.66666666666669</v>
      </c>
      <c r="R104" s="382">
        <v>290.32258064516128</v>
      </c>
      <c r="S104" s="382">
        <v>935.48387096774195</v>
      </c>
      <c r="T104" s="382">
        <v>6266.666666666667</v>
      </c>
      <c r="U104" s="382">
        <v>4032.2580645161293</v>
      </c>
      <c r="V104" s="382">
        <v>1333.3333333333333</v>
      </c>
      <c r="W104" s="382">
        <v>5774.1935483870966</v>
      </c>
      <c r="X104" s="163"/>
    </row>
    <row r="105" spans="1:24" ht="15.75" thickBot="1">
      <c r="A105" s="396" t="s">
        <v>113</v>
      </c>
      <c r="B105" s="397"/>
      <c r="C105" s="397"/>
      <c r="D105" s="397"/>
      <c r="E105" s="397"/>
      <c r="F105" s="397"/>
      <c r="G105" s="398"/>
      <c r="I105" s="377"/>
      <c r="J105" s="356">
        <v>2052150585</v>
      </c>
      <c r="K105" s="358" t="s">
        <v>52</v>
      </c>
      <c r="L105" s="382">
        <v>1645.1612903225807</v>
      </c>
      <c r="M105" s="382">
        <v>5142.8571428571431</v>
      </c>
      <c r="N105" s="382">
        <v>4322.5806451612907</v>
      </c>
      <c r="O105" s="382">
        <v>7500</v>
      </c>
      <c r="P105" s="382">
        <v>16290.322580645161</v>
      </c>
      <c r="Q105" s="382">
        <v>11366.666666666666</v>
      </c>
      <c r="R105" s="382">
        <v>13838.709677419354</v>
      </c>
      <c r="S105" s="382">
        <v>12741.935483870968</v>
      </c>
      <c r="T105" s="382">
        <v>17500</v>
      </c>
      <c r="U105" s="382">
        <v>9903.2258064516136</v>
      </c>
      <c r="V105" s="382">
        <v>7900</v>
      </c>
      <c r="W105" s="382">
        <v>4806.4516129032254</v>
      </c>
      <c r="X105" s="163"/>
    </row>
    <row r="106" spans="1:24" ht="45">
      <c r="A106" s="207" t="s">
        <v>111</v>
      </c>
      <c r="B106" s="362" t="s">
        <v>75</v>
      </c>
      <c r="C106" s="362" t="s">
        <v>106</v>
      </c>
      <c r="D106" s="206" t="s">
        <v>112</v>
      </c>
      <c r="E106" s="346" t="s">
        <v>108</v>
      </c>
      <c r="F106" s="359" t="s">
        <v>101</v>
      </c>
      <c r="G106" s="178" t="s">
        <v>114</v>
      </c>
      <c r="I106" s="375"/>
      <c r="J106" s="356">
        <v>8635150066</v>
      </c>
      <c r="K106" s="358" t="s">
        <v>53</v>
      </c>
      <c r="L106" s="382">
        <v>548.38709677419354</v>
      </c>
      <c r="M106" s="382">
        <v>714.28571428571433</v>
      </c>
      <c r="N106" s="382">
        <v>612.90322580645159</v>
      </c>
      <c r="O106" s="382">
        <v>933.33333333333337</v>
      </c>
      <c r="P106" s="382">
        <v>774.19354838709683</v>
      </c>
      <c r="Q106" s="382">
        <v>900</v>
      </c>
      <c r="R106" s="382">
        <v>2483.8709677419356</v>
      </c>
      <c r="S106" s="382">
        <v>96.774193548387103</v>
      </c>
      <c r="T106" s="382">
        <v>2266.6666666666665</v>
      </c>
      <c r="U106" s="382">
        <v>322.58064516129031</v>
      </c>
      <c r="V106" s="382">
        <v>400</v>
      </c>
      <c r="W106" s="382">
        <v>96.774193548387103</v>
      </c>
      <c r="X106" s="163"/>
    </row>
    <row r="107" spans="1:24">
      <c r="A107" s="198">
        <v>44685</v>
      </c>
      <c r="B107" s="346">
        <v>68</v>
      </c>
      <c r="C107" s="344" t="s">
        <v>154</v>
      </c>
      <c r="D107" s="347">
        <f>(L117*31)+(M117*28)+(N117*9)</f>
        <v>2322935.4838709678</v>
      </c>
      <c r="E107" s="347">
        <f t="shared" ref="E107:E112" si="17">D107/B107</f>
        <v>34160.815939278938</v>
      </c>
      <c r="F107" s="189">
        <f t="shared" ref="F107:F112" si="18">G98-E107</f>
        <v>12898.007590132824</v>
      </c>
      <c r="G107" s="193">
        <f>M117*68</f>
        <v>3137714.2857142859</v>
      </c>
      <c r="I107" s="375"/>
      <c r="J107" s="357">
        <v>6663150208</v>
      </c>
      <c r="K107" s="358" t="s">
        <v>54</v>
      </c>
      <c r="L107" s="382">
        <v>290.32258064516128</v>
      </c>
      <c r="M107" s="382">
        <v>678.57142857142856</v>
      </c>
      <c r="N107" s="382">
        <v>677.41935483870964</v>
      </c>
      <c r="O107" s="382">
        <v>833.33333333333337</v>
      </c>
      <c r="P107" s="382">
        <v>677.41935483870964</v>
      </c>
      <c r="Q107" s="382">
        <v>333.33333333333331</v>
      </c>
      <c r="R107" s="382">
        <v>290.32258064516128</v>
      </c>
      <c r="S107" s="382">
        <v>354.83870967741933</v>
      </c>
      <c r="T107" s="382">
        <v>700</v>
      </c>
      <c r="U107" s="382">
        <v>806.45161290322585</v>
      </c>
      <c r="V107" s="382">
        <v>1200</v>
      </c>
      <c r="W107" s="382">
        <v>1354.8387096774193</v>
      </c>
      <c r="X107" s="163"/>
    </row>
    <row r="108" spans="1:24">
      <c r="A108" s="198">
        <v>44775</v>
      </c>
      <c r="B108" s="346">
        <v>73</v>
      </c>
      <c r="C108" s="344" t="s">
        <v>155</v>
      </c>
      <c r="D108" s="347">
        <f>(N117*22)+(O117*30)+(P117*21)</f>
        <v>3540548.3870967738</v>
      </c>
      <c r="E108" s="347">
        <f t="shared" si="17"/>
        <v>48500.662836942109</v>
      </c>
      <c r="F108" s="172">
        <f t="shared" si="18"/>
        <v>-1514.3614670790921</v>
      </c>
      <c r="G108" s="193">
        <f>O117*73</f>
        <v>3718133.333333334</v>
      </c>
      <c r="I108" s="375"/>
      <c r="J108" s="356">
        <v>6068150813</v>
      </c>
      <c r="K108" s="358" t="s">
        <v>55</v>
      </c>
      <c r="L108" s="382">
        <v>193.54838709677421</v>
      </c>
      <c r="M108" s="382">
        <v>607.14285714285711</v>
      </c>
      <c r="N108" s="382">
        <v>516.12903225806451</v>
      </c>
      <c r="O108" s="382">
        <v>1333.3333333333333</v>
      </c>
      <c r="P108" s="382">
        <v>7451.6129032258068</v>
      </c>
      <c r="Q108" s="382">
        <v>4233.333333333333</v>
      </c>
      <c r="R108" s="382">
        <v>8516.1290322580644</v>
      </c>
      <c r="S108" s="382">
        <v>7354.8387096774195</v>
      </c>
      <c r="T108" s="382">
        <v>8900</v>
      </c>
      <c r="U108" s="382">
        <v>4129.0322580645161</v>
      </c>
      <c r="V108" s="382">
        <v>2666.6666666666665</v>
      </c>
      <c r="W108" s="382">
        <v>677.41935483870964</v>
      </c>
      <c r="X108" s="163"/>
    </row>
    <row r="109" spans="1:24">
      <c r="A109" s="198">
        <v>44845</v>
      </c>
      <c r="B109" s="346">
        <v>73</v>
      </c>
      <c r="C109" s="344" t="s">
        <v>156</v>
      </c>
      <c r="D109" s="347">
        <f>(P117*10)+(Q117*30)+(R117*31)+(S117*2)</f>
        <v>3214903.2258064514</v>
      </c>
      <c r="E109" s="347">
        <f t="shared" si="17"/>
        <v>44039.770216526733</v>
      </c>
      <c r="F109" s="172">
        <f t="shared" si="18"/>
        <v>-30067.167476800707</v>
      </c>
      <c r="G109" s="193">
        <f>(AVERAGE(Q117:R117))*73</f>
        <v>3053087.634408602</v>
      </c>
      <c r="I109" s="375"/>
      <c r="J109" s="357">
        <v>5068150812</v>
      </c>
      <c r="K109" s="358" t="s">
        <v>56</v>
      </c>
      <c r="L109" s="382">
        <v>32.258064516129032</v>
      </c>
      <c r="M109" s="382">
        <v>250</v>
      </c>
      <c r="N109" s="382">
        <v>193.54838709677421</v>
      </c>
      <c r="O109" s="382">
        <v>333.33333333333331</v>
      </c>
      <c r="P109" s="382">
        <v>193.54838709677421</v>
      </c>
      <c r="Q109" s="382">
        <v>133.33333333333334</v>
      </c>
      <c r="R109" s="382">
        <v>96.774193548387103</v>
      </c>
      <c r="S109" s="382">
        <v>161.29032258064515</v>
      </c>
      <c r="T109" s="382">
        <v>233.33333333333334</v>
      </c>
      <c r="U109" s="382">
        <v>322.58064516129031</v>
      </c>
      <c r="V109" s="382">
        <v>366.66666666666669</v>
      </c>
      <c r="W109" s="382">
        <v>290.32258064516128</v>
      </c>
      <c r="X109" s="163"/>
    </row>
    <row r="110" spans="1:24">
      <c r="A110" s="198">
        <v>44901</v>
      </c>
      <c r="B110" s="346">
        <v>63</v>
      </c>
      <c r="C110" s="344" t="s">
        <v>157</v>
      </c>
      <c r="D110" s="347">
        <f>(S117*29)+(T117*30)+(U117*4)</f>
        <v>4066290.3225806458</v>
      </c>
      <c r="E110" s="347">
        <f t="shared" si="17"/>
        <v>64544.290834613428</v>
      </c>
      <c r="F110" s="172">
        <f t="shared" si="18"/>
        <v>-32480.798771121365</v>
      </c>
      <c r="G110" s="193">
        <f>(AVERAGE(S117:T117))*63</f>
        <v>4089546.7741935491</v>
      </c>
      <c r="I110" s="375"/>
      <c r="J110" s="357">
        <v>2364150700</v>
      </c>
      <c r="K110" s="358" t="s">
        <v>57</v>
      </c>
      <c r="L110" s="382">
        <v>1096.7741935483871</v>
      </c>
      <c r="M110" s="382">
        <v>1428.5714285714287</v>
      </c>
      <c r="N110" s="382">
        <v>1096.7741935483871</v>
      </c>
      <c r="O110" s="382">
        <v>1500</v>
      </c>
      <c r="P110" s="382">
        <v>967.74193548387098</v>
      </c>
      <c r="Q110" s="382">
        <v>1266.6666666666667</v>
      </c>
      <c r="R110" s="382">
        <v>1290.3225806451612</v>
      </c>
      <c r="S110" s="382">
        <v>1483.8709677419354</v>
      </c>
      <c r="T110" s="382">
        <v>2333.3333333333335</v>
      </c>
      <c r="U110" s="382">
        <v>1677.4193548387098</v>
      </c>
      <c r="V110" s="382">
        <v>1433.3333333333333</v>
      </c>
      <c r="W110" s="382">
        <v>1225.8064516129032</v>
      </c>
      <c r="X110" s="163"/>
    </row>
    <row r="111" spans="1:24">
      <c r="A111" s="198">
        <v>44978</v>
      </c>
      <c r="B111" s="346">
        <v>70</v>
      </c>
      <c r="C111" s="344" t="s">
        <v>158</v>
      </c>
      <c r="D111" s="347">
        <f>(U117*27)+(V117*30)+(W117*13)</f>
        <v>3414000.0000000005</v>
      </c>
      <c r="E111" s="347">
        <f t="shared" si="17"/>
        <v>48771.42857142858</v>
      </c>
      <c r="F111" s="172">
        <f t="shared" si="18"/>
        <v>-26771.428571428576</v>
      </c>
      <c r="G111" s="193">
        <f>V117*70</f>
        <v>3257333.3333333335</v>
      </c>
      <c r="I111" s="375"/>
      <c r="J111" s="357">
        <v>1364150699</v>
      </c>
      <c r="K111" s="358" t="s">
        <v>58</v>
      </c>
      <c r="L111" s="382">
        <v>387.09677419354841</v>
      </c>
      <c r="M111" s="382">
        <v>1607.1428571428571</v>
      </c>
      <c r="N111" s="382">
        <v>1483.8709677419354</v>
      </c>
      <c r="O111" s="382">
        <v>1733.3333333333333</v>
      </c>
      <c r="P111" s="382">
        <v>2451.6129032258063</v>
      </c>
      <c r="Q111" s="382">
        <v>2266.6666666666665</v>
      </c>
      <c r="R111" s="382">
        <v>4161.2903225806449</v>
      </c>
      <c r="S111" s="382">
        <v>3645.1612903225805</v>
      </c>
      <c r="T111" s="382">
        <v>4633.333333333333</v>
      </c>
      <c r="U111" s="382">
        <v>2580.6451612903224</v>
      </c>
      <c r="V111" s="382">
        <v>2200</v>
      </c>
      <c r="W111" s="382">
        <v>1193.5483870967741</v>
      </c>
      <c r="X111" s="163"/>
    </row>
    <row r="112" spans="1:24">
      <c r="A112" s="198">
        <v>44999</v>
      </c>
      <c r="B112" s="346">
        <v>18</v>
      </c>
      <c r="C112" s="344" t="s">
        <v>159</v>
      </c>
      <c r="D112" s="347">
        <f>W117*18</f>
        <v>722322.58064516122</v>
      </c>
      <c r="E112" s="347">
        <f t="shared" si="17"/>
        <v>40129.032258064515</v>
      </c>
      <c r="F112" s="172">
        <f t="shared" si="18"/>
        <v>-17906.810035842293</v>
      </c>
      <c r="G112" s="193">
        <f>L141*18</f>
        <v>368129.03225806454</v>
      </c>
      <c r="I112" s="375"/>
      <c r="J112" s="356">
        <v>2068150809</v>
      </c>
      <c r="K112" s="358" t="s">
        <v>59</v>
      </c>
      <c r="L112" s="382">
        <v>0</v>
      </c>
      <c r="M112" s="382">
        <v>35.714285714285715</v>
      </c>
      <c r="N112" s="382">
        <v>32.258064516129032</v>
      </c>
      <c r="O112" s="382">
        <v>33.333333333333336</v>
      </c>
      <c r="P112" s="382">
        <v>32.258064516129032</v>
      </c>
      <c r="Q112" s="382">
        <v>33.333333333333336</v>
      </c>
      <c r="R112" s="382">
        <v>32.258064516129032</v>
      </c>
      <c r="S112" s="382">
        <v>32.258064516129032</v>
      </c>
      <c r="T112" s="382">
        <v>33.333333333333336</v>
      </c>
      <c r="U112" s="382">
        <v>32.258064516129032</v>
      </c>
      <c r="V112" s="382">
        <v>33.333333333333336</v>
      </c>
      <c r="W112" s="382">
        <v>0</v>
      </c>
      <c r="X112" s="163"/>
    </row>
    <row r="113" spans="1:24" ht="15.75" thickBot="1">
      <c r="A113" s="192"/>
      <c r="B113" s="161"/>
      <c r="C113" s="161"/>
      <c r="D113" s="188"/>
      <c r="E113" s="188"/>
      <c r="F113" s="182"/>
      <c r="G113" s="166"/>
      <c r="I113" s="375"/>
      <c r="J113" s="356">
        <v>5756250297</v>
      </c>
      <c r="K113" s="358" t="s">
        <v>60</v>
      </c>
      <c r="L113" s="382">
        <v>5612.9032258064517</v>
      </c>
      <c r="M113" s="382">
        <v>12821.428571428571</v>
      </c>
      <c r="N113" s="382">
        <v>10096.774193548386</v>
      </c>
      <c r="O113" s="382">
        <v>13666.666666666666</v>
      </c>
      <c r="P113" s="382">
        <v>11322.58064516129</v>
      </c>
      <c r="Q113" s="382">
        <v>6766.666666666667</v>
      </c>
      <c r="R113" s="382">
        <v>11838.709677419354</v>
      </c>
      <c r="S113" s="382">
        <v>14677.41935483871</v>
      </c>
      <c r="T113" s="382">
        <v>21666.666666666668</v>
      </c>
      <c r="U113" s="382">
        <v>16870.967741935485</v>
      </c>
      <c r="V113" s="382">
        <v>13833.333333333334</v>
      </c>
      <c r="W113" s="382">
        <v>9774.1935483870966</v>
      </c>
      <c r="X113" s="163"/>
    </row>
    <row r="114" spans="1:24">
      <c r="A114" s="345"/>
      <c r="B114" s="345"/>
      <c r="C114" s="345"/>
      <c r="D114" s="345"/>
      <c r="E114" s="345"/>
      <c r="F114" s="345"/>
      <c r="G114" s="345"/>
      <c r="I114" s="375"/>
      <c r="J114" s="357">
        <v>1665911804</v>
      </c>
      <c r="K114" s="358" t="s">
        <v>61</v>
      </c>
      <c r="L114" s="382">
        <v>129.03225806451613</v>
      </c>
      <c r="M114" s="382">
        <v>178.57142857142858</v>
      </c>
      <c r="N114" s="382">
        <v>161.29032258064515</v>
      </c>
      <c r="O114" s="382">
        <v>233.33333333333334</v>
      </c>
      <c r="P114" s="382">
        <v>258.06451612903226</v>
      </c>
      <c r="Q114" s="382">
        <v>66.666666666666671</v>
      </c>
      <c r="R114" s="382">
        <v>193.54838709677421</v>
      </c>
      <c r="S114" s="382">
        <v>225.80645161290323</v>
      </c>
      <c r="T114" s="382">
        <v>566.66666666666663</v>
      </c>
      <c r="U114" s="382">
        <v>193.54838709677421</v>
      </c>
      <c r="V114" s="382">
        <v>500</v>
      </c>
      <c r="W114" s="382">
        <v>193.54838709677421</v>
      </c>
      <c r="X114" s="163"/>
    </row>
    <row r="115" spans="1:24">
      <c r="A115" s="345"/>
      <c r="B115" s="345"/>
      <c r="C115" s="345"/>
      <c r="D115" s="345"/>
      <c r="E115" s="345"/>
      <c r="F115" s="345"/>
      <c r="G115" s="345"/>
      <c r="I115" s="375"/>
      <c r="J115" s="357">
        <v>3054467971</v>
      </c>
      <c r="K115" s="358" t="s">
        <v>62</v>
      </c>
      <c r="L115" s="382">
        <v>322.58064516129031</v>
      </c>
      <c r="M115" s="382">
        <v>500</v>
      </c>
      <c r="N115" s="382">
        <v>580.64516129032256</v>
      </c>
      <c r="O115" s="382">
        <v>733.33333333333337</v>
      </c>
      <c r="P115" s="382">
        <v>580.64516129032256</v>
      </c>
      <c r="Q115" s="382">
        <v>433.33333333333331</v>
      </c>
      <c r="R115" s="382">
        <v>1225.8064516129032</v>
      </c>
      <c r="S115" s="382">
        <v>709.67741935483866</v>
      </c>
      <c r="T115" s="382">
        <v>900</v>
      </c>
      <c r="U115" s="382">
        <v>838.70967741935488</v>
      </c>
      <c r="V115" s="382">
        <v>800</v>
      </c>
      <c r="W115" s="382">
        <v>741.93548387096769</v>
      </c>
      <c r="X115" s="163"/>
    </row>
    <row r="116" spans="1:24">
      <c r="A116" s="345"/>
      <c r="B116" s="345"/>
      <c r="C116" s="345"/>
      <c r="D116" s="345"/>
      <c r="E116" s="345"/>
      <c r="F116" s="345"/>
      <c r="G116" s="345"/>
      <c r="I116" s="375"/>
      <c r="J116" s="357">
        <v>3380811569</v>
      </c>
      <c r="K116" s="358" t="s">
        <v>63</v>
      </c>
      <c r="L116" s="382">
        <v>0</v>
      </c>
      <c r="M116" s="382">
        <v>0</v>
      </c>
      <c r="N116" s="382">
        <v>0</v>
      </c>
      <c r="O116" s="382">
        <v>33.333333333333336</v>
      </c>
      <c r="P116" s="382">
        <v>0</v>
      </c>
      <c r="Q116" s="382">
        <v>0</v>
      </c>
      <c r="R116" s="382">
        <v>32.258064516129032</v>
      </c>
      <c r="S116" s="382">
        <v>0</v>
      </c>
      <c r="T116" s="382">
        <v>33.333333333333336</v>
      </c>
      <c r="U116" s="382">
        <v>0</v>
      </c>
      <c r="V116" s="382">
        <v>33.333333333333336</v>
      </c>
      <c r="W116" s="382">
        <v>32.258064516129032</v>
      </c>
      <c r="X116" s="163"/>
    </row>
    <row r="117" spans="1:24">
      <c r="A117" s="345"/>
      <c r="B117" s="345"/>
      <c r="C117" s="345"/>
      <c r="D117" s="345"/>
      <c r="E117" s="345"/>
      <c r="F117" s="345"/>
      <c r="G117" s="345"/>
      <c r="I117" s="343"/>
      <c r="J117" s="343"/>
      <c r="K117" s="343"/>
      <c r="L117" s="368">
        <v>22064.516129032261</v>
      </c>
      <c r="M117" s="368">
        <v>46142.857142857145</v>
      </c>
      <c r="N117" s="368">
        <v>38548.38709677419</v>
      </c>
      <c r="O117" s="368">
        <v>50933.333333333343</v>
      </c>
      <c r="P117" s="368">
        <v>55451.612903225803</v>
      </c>
      <c r="Q117" s="368">
        <v>33033.333333333336</v>
      </c>
      <c r="R117" s="368">
        <v>50612.903225806447</v>
      </c>
      <c r="S117" s="368">
        <v>50193.54838709678</v>
      </c>
      <c r="T117" s="368">
        <v>79633.333333333343</v>
      </c>
      <c r="U117" s="368">
        <v>55419.354838709689</v>
      </c>
      <c r="V117" s="368">
        <v>46533.333333333336</v>
      </c>
      <c r="W117" s="368">
        <v>40129.032258064515</v>
      </c>
      <c r="X117" s="163"/>
    </row>
    <row r="118" spans="1:24">
      <c r="A118" s="345"/>
      <c r="B118" s="345"/>
      <c r="C118" s="345"/>
      <c r="D118" s="345"/>
      <c r="E118" s="345"/>
      <c r="F118" s="345"/>
      <c r="G118" s="345"/>
      <c r="I118" s="343"/>
      <c r="J118" s="343"/>
      <c r="K118" s="343"/>
      <c r="L118" s="386"/>
      <c r="M118" s="386"/>
      <c r="N118" s="386"/>
      <c r="O118" s="386"/>
      <c r="P118" s="386"/>
      <c r="Q118" s="386"/>
      <c r="R118" s="386"/>
      <c r="S118" s="386"/>
      <c r="T118" s="386"/>
      <c r="U118" s="386"/>
      <c r="V118" s="386"/>
      <c r="W118" s="386"/>
      <c r="X118" s="163"/>
    </row>
    <row r="119" spans="1:24" ht="15.75" thickBot="1">
      <c r="A119" s="345"/>
      <c r="B119" s="345"/>
      <c r="C119" s="345"/>
      <c r="D119" s="345"/>
      <c r="E119" s="345"/>
      <c r="F119" s="345"/>
      <c r="G119" s="345"/>
      <c r="I119" s="361"/>
      <c r="J119" s="361"/>
      <c r="K119" s="361"/>
      <c r="L119" s="361"/>
      <c r="M119" s="360"/>
      <c r="N119" s="360"/>
      <c r="O119" s="360"/>
      <c r="P119" s="360"/>
      <c r="Q119" s="360"/>
      <c r="R119" s="360"/>
      <c r="S119" s="360"/>
      <c r="T119" s="360"/>
      <c r="U119" s="360"/>
      <c r="V119" s="360"/>
      <c r="W119" s="360"/>
      <c r="X119" s="180"/>
    </row>
    <row r="120" spans="1:24">
      <c r="A120" s="393" t="s">
        <v>110</v>
      </c>
      <c r="B120" s="394"/>
      <c r="C120" s="394"/>
      <c r="D120" s="394"/>
      <c r="E120" s="394"/>
      <c r="F120" s="394"/>
      <c r="G120" s="395"/>
      <c r="I120" s="369" t="s">
        <v>73</v>
      </c>
      <c r="J120" s="374">
        <v>2023</v>
      </c>
      <c r="K120" s="378"/>
      <c r="L120" s="378"/>
      <c r="M120" s="378"/>
      <c r="N120" s="378"/>
      <c r="O120" s="378"/>
      <c r="P120" s="378"/>
      <c r="Q120" s="378"/>
      <c r="R120" s="378"/>
      <c r="S120" s="378"/>
      <c r="T120" s="378"/>
      <c r="U120" s="378"/>
      <c r="V120" s="378"/>
      <c r="W120" s="378"/>
      <c r="X120" s="177"/>
    </row>
    <row r="121" spans="1:24" ht="45">
      <c r="A121" s="164" t="s">
        <v>104</v>
      </c>
      <c r="B121" s="346" t="s">
        <v>75</v>
      </c>
      <c r="C121" s="346" t="s">
        <v>105</v>
      </c>
      <c r="D121" s="346" t="s">
        <v>106</v>
      </c>
      <c r="E121" s="344" t="s">
        <v>107</v>
      </c>
      <c r="F121" s="346" t="s">
        <v>108</v>
      </c>
      <c r="G121" s="194" t="s">
        <v>109</v>
      </c>
      <c r="I121" s="379"/>
      <c r="J121" s="350" t="s">
        <v>31</v>
      </c>
      <c r="K121" s="351" t="s">
        <v>32</v>
      </c>
      <c r="L121" s="352" t="s">
        <v>33</v>
      </c>
      <c r="M121" s="353" t="s">
        <v>34</v>
      </c>
      <c r="N121" s="354" t="s">
        <v>35</v>
      </c>
      <c r="O121" s="354" t="s">
        <v>36</v>
      </c>
      <c r="P121" s="354" t="s">
        <v>37</v>
      </c>
      <c r="Q121" s="354" t="s">
        <v>38</v>
      </c>
      <c r="R121" s="354" t="s">
        <v>39</v>
      </c>
      <c r="S121" s="354" t="s">
        <v>40</v>
      </c>
      <c r="T121" s="354" t="s">
        <v>41</v>
      </c>
      <c r="U121" s="354" t="s">
        <v>42</v>
      </c>
      <c r="V121" s="354" t="s">
        <v>43</v>
      </c>
      <c r="W121" s="354" t="s">
        <v>44</v>
      </c>
      <c r="X121" s="177"/>
    </row>
    <row r="122" spans="1:24">
      <c r="A122" s="198">
        <v>45034</v>
      </c>
      <c r="B122" s="346">
        <v>51</v>
      </c>
      <c r="C122" s="344" t="s">
        <v>153</v>
      </c>
      <c r="D122" s="344" t="s">
        <v>164</v>
      </c>
      <c r="E122" s="344">
        <v>0.66</v>
      </c>
      <c r="F122" s="346">
        <f t="shared" ref="F122:F127" si="19">E122/B122</f>
        <v>1.2941176470588235E-2</v>
      </c>
      <c r="G122" s="162">
        <f t="shared" ref="G122:G127" si="20">F122*1000000</f>
        <v>12941.176470588236</v>
      </c>
      <c r="I122" s="375"/>
      <c r="J122" s="355">
        <v>7534810685</v>
      </c>
      <c r="K122" s="358" t="s">
        <v>45</v>
      </c>
      <c r="L122" s="382">
        <v>387.09677419354841</v>
      </c>
      <c r="M122" s="382">
        <v>464.28571428571428</v>
      </c>
      <c r="N122" s="382">
        <v>516.12903225806451</v>
      </c>
      <c r="O122" s="382">
        <v>466.66666666666669</v>
      </c>
      <c r="P122" s="382">
        <v>516.12903225806451</v>
      </c>
      <c r="Q122" s="382">
        <v>433.33333333333331</v>
      </c>
      <c r="R122" s="382">
        <v>451.61290322580646</v>
      </c>
      <c r="S122" s="382">
        <v>419.35483870967744</v>
      </c>
      <c r="T122" s="382">
        <v>600</v>
      </c>
      <c r="U122" s="382">
        <v>516.12903225806451</v>
      </c>
      <c r="V122" s="382">
        <v>466.66666666666669</v>
      </c>
      <c r="W122" s="382">
        <v>516.12903225806451</v>
      </c>
      <c r="X122" s="177"/>
    </row>
    <row r="123" spans="1:24">
      <c r="A123" s="198">
        <v>45099</v>
      </c>
      <c r="B123" s="346">
        <v>63</v>
      </c>
      <c r="C123" s="344" t="s">
        <v>160</v>
      </c>
      <c r="D123" s="344" t="s">
        <v>165</v>
      </c>
      <c r="E123" s="344">
        <v>2.84</v>
      </c>
      <c r="F123" s="346">
        <f t="shared" si="19"/>
        <v>4.507936507936508E-2</v>
      </c>
      <c r="G123" s="162">
        <f t="shared" si="20"/>
        <v>45079.365079365081</v>
      </c>
      <c r="I123" s="375"/>
      <c r="J123" s="355">
        <v>4366050935</v>
      </c>
      <c r="K123" s="358" t="s">
        <v>46</v>
      </c>
      <c r="L123" s="382">
        <v>387.09677419354841</v>
      </c>
      <c r="M123" s="382">
        <v>1500</v>
      </c>
      <c r="N123" s="382">
        <v>1548.3870967741937</v>
      </c>
      <c r="O123" s="382">
        <v>1266.6666666666667</v>
      </c>
      <c r="P123" s="382">
        <v>741.93548387096769</v>
      </c>
      <c r="Q123" s="382">
        <v>33.333333333333336</v>
      </c>
      <c r="R123" s="382">
        <v>0</v>
      </c>
      <c r="S123" s="382">
        <v>32.258064516129032</v>
      </c>
      <c r="T123" s="382">
        <v>900</v>
      </c>
      <c r="U123" s="382">
        <v>870.9677419354839</v>
      </c>
      <c r="V123" s="382">
        <v>733.33333333333337</v>
      </c>
      <c r="W123" s="382">
        <v>1096.7741935483871</v>
      </c>
      <c r="X123" s="177"/>
    </row>
    <row r="124" spans="1:24">
      <c r="A124" s="198">
        <v>45167</v>
      </c>
      <c r="B124" s="346">
        <v>63</v>
      </c>
      <c r="C124" s="344" t="s">
        <v>161</v>
      </c>
      <c r="D124" s="344" t="s">
        <v>166</v>
      </c>
      <c r="E124" s="344">
        <v>2.08</v>
      </c>
      <c r="F124" s="346">
        <f t="shared" si="19"/>
        <v>3.3015873015873019E-2</v>
      </c>
      <c r="G124" s="162">
        <f t="shared" si="20"/>
        <v>33015.873015873018</v>
      </c>
      <c r="I124" s="375"/>
      <c r="J124" s="355">
        <v>6366050937</v>
      </c>
      <c r="K124" s="358" t="s">
        <v>47</v>
      </c>
      <c r="L124" s="382">
        <v>96.774193548387103</v>
      </c>
      <c r="M124" s="382">
        <v>714.28571428571433</v>
      </c>
      <c r="N124" s="382">
        <v>677.41935483870964</v>
      </c>
      <c r="O124" s="382">
        <v>633.33333333333337</v>
      </c>
      <c r="P124" s="382">
        <v>419.35483870967744</v>
      </c>
      <c r="Q124" s="382">
        <v>400</v>
      </c>
      <c r="R124" s="382">
        <v>516.12903225806451</v>
      </c>
      <c r="S124" s="382">
        <v>354.83870967741933</v>
      </c>
      <c r="T124" s="382">
        <v>566.66666666666663</v>
      </c>
      <c r="U124" s="382">
        <v>580.64516129032256</v>
      </c>
      <c r="V124" s="382">
        <v>633.33333333333337</v>
      </c>
      <c r="W124" s="382">
        <v>645.16129032258061</v>
      </c>
      <c r="X124" s="177"/>
    </row>
    <row r="125" spans="1:24">
      <c r="A125" s="198">
        <v>45274</v>
      </c>
      <c r="B125" s="346">
        <v>68</v>
      </c>
      <c r="C125" s="344" t="s">
        <v>162</v>
      </c>
      <c r="D125" s="344" t="s">
        <v>167</v>
      </c>
      <c r="E125" s="344">
        <v>2.82</v>
      </c>
      <c r="F125" s="346">
        <f t="shared" si="19"/>
        <v>4.1470588235294113E-2</v>
      </c>
      <c r="G125" s="162">
        <f t="shared" si="20"/>
        <v>41470.588235294112</v>
      </c>
      <c r="I125" s="375"/>
      <c r="J125" s="355">
        <v>7366050938</v>
      </c>
      <c r="K125" s="358" t="s">
        <v>48</v>
      </c>
      <c r="L125" s="382">
        <v>2096.7741935483873</v>
      </c>
      <c r="M125" s="382">
        <v>1892.8571428571429</v>
      </c>
      <c r="N125" s="382">
        <v>1709.6774193548388</v>
      </c>
      <c r="O125" s="382">
        <v>1566.6666666666667</v>
      </c>
      <c r="P125" s="382">
        <v>1322.5806451612902</v>
      </c>
      <c r="Q125" s="382">
        <v>900</v>
      </c>
      <c r="R125" s="382">
        <v>1064.516129032258</v>
      </c>
      <c r="S125" s="382">
        <v>1000</v>
      </c>
      <c r="T125" s="382">
        <v>1266.6666666666667</v>
      </c>
      <c r="U125" s="382">
        <v>1806.4516129032259</v>
      </c>
      <c r="V125" s="382">
        <v>1600</v>
      </c>
      <c r="W125" s="382">
        <v>1064.516129032258</v>
      </c>
      <c r="X125" s="177"/>
    </row>
    <row r="126" spans="1:24">
      <c r="A126" s="198">
        <v>45335</v>
      </c>
      <c r="B126" s="346">
        <v>63</v>
      </c>
      <c r="C126" s="344" t="s">
        <v>163</v>
      </c>
      <c r="D126" s="344" t="s">
        <v>168</v>
      </c>
      <c r="E126" s="344">
        <v>2.54</v>
      </c>
      <c r="F126" s="346">
        <f t="shared" si="19"/>
        <v>4.0317460317460321E-2</v>
      </c>
      <c r="G126" s="162">
        <f t="shared" si="20"/>
        <v>40317.460317460318</v>
      </c>
      <c r="I126" s="375"/>
      <c r="J126" s="355">
        <v>3366050934</v>
      </c>
      <c r="K126" s="358" t="s">
        <v>49</v>
      </c>
      <c r="L126" s="382">
        <v>3064.516129032258</v>
      </c>
      <c r="M126" s="382">
        <v>8392.8571428571431</v>
      </c>
      <c r="N126" s="382">
        <v>9322.5806451612898</v>
      </c>
      <c r="O126" s="382">
        <v>11166.666666666666</v>
      </c>
      <c r="P126" s="382">
        <v>10096.774193548386</v>
      </c>
      <c r="Q126" s="382">
        <v>4266.666666666667</v>
      </c>
      <c r="R126" s="382">
        <v>1064.516129032258</v>
      </c>
      <c r="S126" s="382">
        <v>774.19354838709683</v>
      </c>
      <c r="T126" s="382">
        <v>2666.6666666666665</v>
      </c>
      <c r="U126" s="382">
        <v>2612.9032258064517</v>
      </c>
      <c r="V126" s="382">
        <v>2866.6666666666665</v>
      </c>
      <c r="W126" s="382">
        <v>2774.1935483870966</v>
      </c>
      <c r="X126" s="163"/>
    </row>
    <row r="127" spans="1:24" ht="15.75" thickBot="1">
      <c r="A127" s="176">
        <v>45351</v>
      </c>
      <c r="B127" s="188">
        <v>57</v>
      </c>
      <c r="C127" s="160" t="s">
        <v>86</v>
      </c>
      <c r="D127" s="160" t="s">
        <v>169</v>
      </c>
      <c r="E127" s="160">
        <v>2.23</v>
      </c>
      <c r="F127" s="188">
        <f t="shared" si="19"/>
        <v>3.9122807017543858E-2</v>
      </c>
      <c r="G127" s="183">
        <f t="shared" si="20"/>
        <v>39122.807017543855</v>
      </c>
      <c r="I127" s="375"/>
      <c r="J127" s="356">
        <v>5581150299</v>
      </c>
      <c r="K127" s="358" t="s">
        <v>50</v>
      </c>
      <c r="L127" s="382">
        <v>935.48387096774195</v>
      </c>
      <c r="M127" s="382">
        <v>4857.1428571428569</v>
      </c>
      <c r="N127" s="382">
        <v>3870.9677419354839</v>
      </c>
      <c r="O127" s="382">
        <v>4566.666666666667</v>
      </c>
      <c r="P127" s="382">
        <v>2612.9032258064517</v>
      </c>
      <c r="Q127" s="382">
        <v>333.33333333333331</v>
      </c>
      <c r="R127" s="382">
        <v>290.32258064516128</v>
      </c>
      <c r="S127" s="382">
        <v>645.16129032258061</v>
      </c>
      <c r="T127" s="382">
        <v>4200</v>
      </c>
      <c r="U127" s="382">
        <v>4451.6129032258068</v>
      </c>
      <c r="V127" s="382">
        <v>4600</v>
      </c>
      <c r="W127" s="382">
        <v>3903.2258064516127</v>
      </c>
      <c r="X127" s="163"/>
    </row>
    <row r="128" spans="1:24" ht="15.75" thickBot="1">
      <c r="A128" s="345"/>
      <c r="B128" s="345"/>
      <c r="C128" s="345"/>
      <c r="D128" s="345"/>
      <c r="E128" s="345"/>
      <c r="F128" s="345"/>
      <c r="G128" s="345"/>
      <c r="I128" s="375"/>
      <c r="J128" s="356">
        <v>5366050936</v>
      </c>
      <c r="K128" s="358" t="s">
        <v>51</v>
      </c>
      <c r="L128" s="382">
        <v>3290.3225806451615</v>
      </c>
      <c r="M128" s="382">
        <v>7714.2857142857147</v>
      </c>
      <c r="N128" s="382">
        <v>806.45161290322585</v>
      </c>
      <c r="O128" s="382">
        <v>700</v>
      </c>
      <c r="P128" s="382">
        <v>709.67741935483866</v>
      </c>
      <c r="Q128" s="382">
        <v>500</v>
      </c>
      <c r="R128" s="382">
        <v>838.70967741935488</v>
      </c>
      <c r="S128" s="382">
        <v>483.87096774193549</v>
      </c>
      <c r="T128" s="382">
        <v>1200</v>
      </c>
      <c r="U128" s="382">
        <v>1322.5806451612902</v>
      </c>
      <c r="V128" s="382">
        <v>1300</v>
      </c>
      <c r="W128" s="382">
        <v>1064.516129032258</v>
      </c>
      <c r="X128" s="163"/>
    </row>
    <row r="129" spans="1:24" ht="15.75" thickBot="1">
      <c r="A129" s="396" t="s">
        <v>113</v>
      </c>
      <c r="B129" s="397"/>
      <c r="C129" s="397"/>
      <c r="D129" s="397"/>
      <c r="E129" s="397"/>
      <c r="F129" s="397"/>
      <c r="G129" s="398"/>
      <c r="I129" s="378"/>
      <c r="J129" s="356">
        <v>2052150585</v>
      </c>
      <c r="K129" s="358" t="s">
        <v>52</v>
      </c>
      <c r="L129" s="382">
        <v>1451.6129032258063</v>
      </c>
      <c r="M129" s="382">
        <v>6107.1428571428569</v>
      </c>
      <c r="N129" s="382">
        <v>7129.0322580645161</v>
      </c>
      <c r="O129" s="382">
        <v>9033.3333333333339</v>
      </c>
      <c r="P129" s="382">
        <v>8967.7419354838712</v>
      </c>
      <c r="Q129" s="382">
        <v>3866.6666666666665</v>
      </c>
      <c r="R129" s="382">
        <v>6258.0645161290322</v>
      </c>
      <c r="S129" s="382">
        <v>11645.161290322581</v>
      </c>
      <c r="T129" s="382">
        <v>15933.333333333334</v>
      </c>
      <c r="U129" s="382">
        <v>16580.645161290322</v>
      </c>
      <c r="V129" s="382">
        <v>10066.666666666666</v>
      </c>
      <c r="W129" s="382">
        <v>8612.9032258064508</v>
      </c>
      <c r="X129" s="163"/>
    </row>
    <row r="130" spans="1:24" ht="45">
      <c r="A130" s="207" t="s">
        <v>111</v>
      </c>
      <c r="B130" s="362" t="s">
        <v>75</v>
      </c>
      <c r="C130" s="362" t="s">
        <v>106</v>
      </c>
      <c r="D130" s="206" t="s">
        <v>112</v>
      </c>
      <c r="E130" s="346" t="s">
        <v>108</v>
      </c>
      <c r="F130" s="359" t="s">
        <v>101</v>
      </c>
      <c r="G130" s="178" t="s">
        <v>114</v>
      </c>
      <c r="I130" s="375"/>
      <c r="J130" s="356">
        <v>8635150066</v>
      </c>
      <c r="K130" s="358" t="s">
        <v>53</v>
      </c>
      <c r="L130" s="382">
        <v>32.258064516129032</v>
      </c>
      <c r="M130" s="382">
        <v>392.85714285714283</v>
      </c>
      <c r="N130" s="382">
        <v>193.54838709677421</v>
      </c>
      <c r="O130" s="382">
        <v>300</v>
      </c>
      <c r="P130" s="382">
        <v>322.58064516129031</v>
      </c>
      <c r="Q130" s="382">
        <v>266.66666666666669</v>
      </c>
      <c r="R130" s="382">
        <v>96.774193548387103</v>
      </c>
      <c r="S130" s="382">
        <v>129.03225806451613</v>
      </c>
      <c r="T130" s="382">
        <v>966.66666666666663</v>
      </c>
      <c r="U130" s="382">
        <v>645.16129032258061</v>
      </c>
      <c r="V130" s="382">
        <v>100</v>
      </c>
      <c r="W130" s="382">
        <v>96.774193548387103</v>
      </c>
      <c r="X130" s="163"/>
    </row>
    <row r="131" spans="1:24">
      <c r="A131" s="198">
        <v>45034</v>
      </c>
      <c r="B131" s="346">
        <v>51</v>
      </c>
      <c r="C131" s="344" t="s">
        <v>164</v>
      </c>
      <c r="D131" s="347">
        <f>(L141*31)+(M141*20)</f>
        <v>1686857.1428571427</v>
      </c>
      <c r="E131" s="347">
        <f>D131/B131</f>
        <v>33075.63025210084</v>
      </c>
      <c r="F131" s="172">
        <f>G122-E131</f>
        <v>-20134.453781512602</v>
      </c>
      <c r="G131" s="193">
        <f>L141*51</f>
        <v>1043032.2580645161</v>
      </c>
      <c r="I131" s="375"/>
      <c r="J131" s="357">
        <v>6663150208</v>
      </c>
      <c r="K131" s="358" t="s">
        <v>54</v>
      </c>
      <c r="L131" s="382">
        <v>838.70967741935488</v>
      </c>
      <c r="M131" s="382">
        <v>714.28571428571433</v>
      </c>
      <c r="N131" s="382">
        <v>709.67741935483866</v>
      </c>
      <c r="O131" s="382">
        <v>700</v>
      </c>
      <c r="P131" s="382">
        <v>580.64516129032256</v>
      </c>
      <c r="Q131" s="382">
        <v>333.33333333333331</v>
      </c>
      <c r="R131" s="382">
        <v>290.32258064516128</v>
      </c>
      <c r="S131" s="382">
        <v>548.38709677419354</v>
      </c>
      <c r="T131" s="382">
        <v>700</v>
      </c>
      <c r="U131" s="382">
        <v>1161.2903225806451</v>
      </c>
      <c r="V131" s="382">
        <v>766.66666666666663</v>
      </c>
      <c r="W131" s="382">
        <v>677.41935483870964</v>
      </c>
      <c r="X131" s="163"/>
    </row>
    <row r="132" spans="1:24">
      <c r="A132" s="198">
        <v>45099</v>
      </c>
      <c r="B132" s="203">
        <v>64</v>
      </c>
      <c r="C132" s="344" t="s">
        <v>165</v>
      </c>
      <c r="D132" s="347">
        <f>(M141*8)+(N141*31)+(O141*24)</f>
        <v>2994742.8571428568</v>
      </c>
      <c r="E132" s="347">
        <f t="shared" ref="E132:E136" si="21">D132/B132</f>
        <v>46792.857142857138</v>
      </c>
      <c r="F132" s="172">
        <f t="shared" ref="F132:F136" si="22">G123-E132</f>
        <v>-1713.4920634920563</v>
      </c>
      <c r="G132" s="193">
        <f>N141*63</f>
        <v>2715096.7741935477</v>
      </c>
      <c r="I132" s="375"/>
      <c r="J132" s="356">
        <v>6068150813</v>
      </c>
      <c r="K132" s="358" t="s">
        <v>55</v>
      </c>
      <c r="L132" s="382">
        <v>193.54838709677421</v>
      </c>
      <c r="M132" s="382">
        <v>857.14285714285711</v>
      </c>
      <c r="N132" s="382">
        <v>645.16129032258061</v>
      </c>
      <c r="O132" s="382">
        <v>1066.6666666666667</v>
      </c>
      <c r="P132" s="382">
        <v>3354.8387096774195</v>
      </c>
      <c r="Q132" s="382">
        <v>2400</v>
      </c>
      <c r="R132" s="382">
        <v>3612.9032258064517</v>
      </c>
      <c r="S132" s="382">
        <v>7096.7741935483873</v>
      </c>
      <c r="T132" s="382">
        <v>7466.666666666667</v>
      </c>
      <c r="U132" s="382">
        <v>6322.5806451612907</v>
      </c>
      <c r="V132" s="382">
        <v>900</v>
      </c>
      <c r="W132" s="382">
        <v>612.90322580645159</v>
      </c>
      <c r="X132" s="163"/>
    </row>
    <row r="133" spans="1:24">
      <c r="A133" s="198">
        <v>45167</v>
      </c>
      <c r="B133" s="346">
        <v>63</v>
      </c>
      <c r="C133" s="344" t="s">
        <v>166</v>
      </c>
      <c r="D133" s="347">
        <f>(O141*6)+(P141*31)+(Q141*26)</f>
        <v>2484866.666666667</v>
      </c>
      <c r="E133" s="347">
        <f t="shared" si="21"/>
        <v>39442.328042328045</v>
      </c>
      <c r="F133" s="172">
        <f t="shared" si="22"/>
        <v>-6426.4550264550271</v>
      </c>
      <c r="G133" s="193">
        <f>P141*63</f>
        <v>2987419.3548387093</v>
      </c>
      <c r="I133" s="375"/>
      <c r="J133" s="357">
        <v>5068150812</v>
      </c>
      <c r="K133" s="358" t="s">
        <v>56</v>
      </c>
      <c r="L133" s="382">
        <v>225.80645161290323</v>
      </c>
      <c r="M133" s="382">
        <v>642.85714285714289</v>
      </c>
      <c r="N133" s="382">
        <v>322.58064516129031</v>
      </c>
      <c r="O133" s="382">
        <v>366.66666666666669</v>
      </c>
      <c r="P133" s="382">
        <v>258.06451612903226</v>
      </c>
      <c r="Q133" s="382">
        <v>200</v>
      </c>
      <c r="R133" s="382">
        <v>64.516129032258064</v>
      </c>
      <c r="S133" s="382">
        <v>225.80645161290323</v>
      </c>
      <c r="T133" s="382">
        <v>333.33333333333331</v>
      </c>
      <c r="U133" s="382">
        <v>354.83870967741933</v>
      </c>
      <c r="V133" s="382">
        <v>366.66666666666669</v>
      </c>
      <c r="W133" s="382">
        <v>354.83870967741933</v>
      </c>
      <c r="X133" s="163"/>
    </row>
    <row r="134" spans="1:24">
      <c r="A134" s="198">
        <v>45274</v>
      </c>
      <c r="B134" s="346">
        <v>68</v>
      </c>
      <c r="C134" s="344" t="s">
        <v>167</v>
      </c>
      <c r="D134" s="347">
        <f>+(Q141*4)+(R141*31)+(S141*31)+(T141*2)</f>
        <v>2664466.6666666665</v>
      </c>
      <c r="E134" s="347">
        <f t="shared" si="21"/>
        <v>39183.333333333328</v>
      </c>
      <c r="F134" s="172">
        <f t="shared" si="22"/>
        <v>2287.2549019607832</v>
      </c>
      <c r="G134" s="193">
        <f>R141*68</f>
        <v>2088258.064516129</v>
      </c>
      <c r="I134" s="375"/>
      <c r="J134" s="357">
        <v>2364150700</v>
      </c>
      <c r="K134" s="358" t="s">
        <v>57</v>
      </c>
      <c r="L134" s="382">
        <v>967.74193548387098</v>
      </c>
      <c r="M134" s="382">
        <v>1785.7142857142858</v>
      </c>
      <c r="N134" s="382">
        <v>1870.9677419354839</v>
      </c>
      <c r="O134" s="382">
        <v>1500</v>
      </c>
      <c r="P134" s="382">
        <v>1645.1612903225807</v>
      </c>
      <c r="Q134" s="382">
        <v>1300</v>
      </c>
      <c r="R134" s="382">
        <v>1645.1612903225807</v>
      </c>
      <c r="S134" s="382">
        <v>1709.6774193548388</v>
      </c>
      <c r="T134" s="382">
        <v>2566.6666666666665</v>
      </c>
      <c r="U134" s="382">
        <v>1870.9677419354839</v>
      </c>
      <c r="V134" s="382">
        <v>2000</v>
      </c>
      <c r="W134" s="382">
        <v>1290.3225806451612</v>
      </c>
      <c r="X134" s="163"/>
    </row>
    <row r="135" spans="1:24">
      <c r="A135" s="198">
        <v>45335</v>
      </c>
      <c r="B135" s="346">
        <v>63</v>
      </c>
      <c r="C135" s="344" t="s">
        <v>168</v>
      </c>
      <c r="D135" s="347">
        <f>(T141*28)+(U141*31)+(V141*4)</f>
        <v>3981533.333333333</v>
      </c>
      <c r="E135" s="347">
        <f t="shared" si="21"/>
        <v>63198.941798941793</v>
      </c>
      <c r="F135" s="172">
        <f t="shared" si="22"/>
        <v>-22881.481481481474</v>
      </c>
      <c r="G135" s="193">
        <f>U141*63</f>
        <v>3847064.5161290322</v>
      </c>
      <c r="I135" s="375"/>
      <c r="J135" s="357">
        <v>1364150699</v>
      </c>
      <c r="K135" s="358" t="s">
        <v>58</v>
      </c>
      <c r="L135" s="382">
        <v>419.35483870967744</v>
      </c>
      <c r="M135" s="382">
        <v>3428.5714285714284</v>
      </c>
      <c r="N135" s="382">
        <v>1580.6451612903227</v>
      </c>
      <c r="O135" s="382">
        <v>1633.3333333333333</v>
      </c>
      <c r="P135" s="382">
        <v>935.48387096774195</v>
      </c>
      <c r="Q135" s="382">
        <v>200</v>
      </c>
      <c r="R135" s="382">
        <v>1419.3548387096773</v>
      </c>
      <c r="S135" s="382">
        <v>3451.6129032258063</v>
      </c>
      <c r="T135" s="382">
        <v>4966.666666666667</v>
      </c>
      <c r="U135" s="382">
        <v>4580.6451612903229</v>
      </c>
      <c r="V135" s="382">
        <v>2866.6666666666665</v>
      </c>
      <c r="W135" s="382">
        <v>2096.7741935483873</v>
      </c>
      <c r="X135" s="163"/>
    </row>
    <row r="136" spans="1:24">
      <c r="A136" s="198">
        <v>45351</v>
      </c>
      <c r="B136" s="346">
        <v>57</v>
      </c>
      <c r="C136" s="344" t="s">
        <v>169</v>
      </c>
      <c r="D136" s="347">
        <f>(V141*26)+(W141*31)</f>
        <v>2233533.333333333</v>
      </c>
      <c r="E136" s="347">
        <f t="shared" si="21"/>
        <v>39184.795321637423</v>
      </c>
      <c r="F136" s="172">
        <f t="shared" si="22"/>
        <v>-61.988304093567422</v>
      </c>
      <c r="G136" s="193">
        <f>(AVERAGE(V141:W141))*57</f>
        <v>2250458.064516129</v>
      </c>
      <c r="I136" s="375"/>
      <c r="J136" s="356">
        <v>2068150809</v>
      </c>
      <c r="K136" s="358" t="s">
        <v>59</v>
      </c>
      <c r="L136" s="382">
        <v>32.258064516129032</v>
      </c>
      <c r="M136" s="382">
        <v>35.714285714285715</v>
      </c>
      <c r="N136" s="382">
        <v>225.80645161290323</v>
      </c>
      <c r="O136" s="382">
        <v>66.666666666666671</v>
      </c>
      <c r="P136" s="382">
        <v>64.516129032258064</v>
      </c>
      <c r="Q136" s="382">
        <v>0</v>
      </c>
      <c r="R136" s="382">
        <v>32.258064516129032</v>
      </c>
      <c r="S136" s="382">
        <v>32.258064516129032</v>
      </c>
      <c r="T136" s="382">
        <v>66.666666666666671</v>
      </c>
      <c r="U136" s="382">
        <v>32.258064516129032</v>
      </c>
      <c r="V136" s="382">
        <v>33.333333333333336</v>
      </c>
      <c r="W136" s="382">
        <v>64.516129032258064</v>
      </c>
      <c r="X136" s="163"/>
    </row>
    <row r="137" spans="1:24" ht="15.75" thickBot="1">
      <c r="A137" s="192"/>
      <c r="B137" s="175">
        <f>SUM(B131:B136)</f>
        <v>366</v>
      </c>
      <c r="C137" s="161"/>
      <c r="D137" s="188"/>
      <c r="E137" s="188"/>
      <c r="F137" s="182"/>
      <c r="G137" s="166"/>
      <c r="I137" s="375"/>
      <c r="J137" s="356">
        <v>5756250297</v>
      </c>
      <c r="K137" s="358" t="s">
        <v>60</v>
      </c>
      <c r="L137" s="382">
        <v>5322.5806451612907</v>
      </c>
      <c r="M137" s="382">
        <v>11535.714285714286</v>
      </c>
      <c r="N137" s="382">
        <v>10580.645161290322</v>
      </c>
      <c r="O137" s="382">
        <v>15033.333333333334</v>
      </c>
      <c r="P137" s="382">
        <v>13580.645161290322</v>
      </c>
      <c r="Q137" s="382">
        <v>10700</v>
      </c>
      <c r="R137" s="382">
        <v>11612.903225806451</v>
      </c>
      <c r="S137" s="382">
        <v>17225.806451612902</v>
      </c>
      <c r="T137" s="382">
        <v>22733.333333333332</v>
      </c>
      <c r="U137" s="382">
        <v>16064.516129032258</v>
      </c>
      <c r="V137" s="382">
        <v>12433.333333333334</v>
      </c>
      <c r="W137" s="382">
        <v>10096.774193548386</v>
      </c>
      <c r="X137" s="163"/>
    </row>
    <row r="138" spans="1:24">
      <c r="A138" s="345"/>
      <c r="B138" s="345"/>
      <c r="C138" s="345"/>
      <c r="D138" s="345"/>
      <c r="E138" s="345"/>
      <c r="F138" s="345"/>
      <c r="G138" s="345"/>
      <c r="I138" s="375"/>
      <c r="J138" s="357">
        <v>1665911804</v>
      </c>
      <c r="K138" s="358" t="s">
        <v>61</v>
      </c>
      <c r="L138" s="382">
        <v>225.80645161290323</v>
      </c>
      <c r="M138" s="382">
        <v>607.14285714285711</v>
      </c>
      <c r="N138" s="382">
        <v>451.61290322580646</v>
      </c>
      <c r="O138" s="382">
        <v>533.33333333333337</v>
      </c>
      <c r="P138" s="382">
        <v>322.58064516129031</v>
      </c>
      <c r="Q138" s="382">
        <v>266.66666666666669</v>
      </c>
      <c r="R138" s="382">
        <v>548.38709677419354</v>
      </c>
      <c r="S138" s="382">
        <v>741.93548387096769</v>
      </c>
      <c r="T138" s="382">
        <v>100</v>
      </c>
      <c r="U138" s="382">
        <v>129.03225806451613</v>
      </c>
      <c r="V138" s="382">
        <v>100</v>
      </c>
      <c r="W138" s="382">
        <v>129.03225806451613</v>
      </c>
      <c r="X138" s="163"/>
    </row>
    <row r="139" spans="1:24">
      <c r="A139" s="345"/>
      <c r="B139" s="345"/>
      <c r="C139" s="345"/>
      <c r="D139" s="345"/>
      <c r="E139" s="345"/>
      <c r="F139" s="345"/>
      <c r="G139" s="345"/>
      <c r="I139" s="375"/>
      <c r="J139" s="357">
        <v>3054467971</v>
      </c>
      <c r="K139" s="358" t="s">
        <v>62</v>
      </c>
      <c r="L139" s="382">
        <v>483.87096774193549</v>
      </c>
      <c r="M139" s="382">
        <v>964.28571428571433</v>
      </c>
      <c r="N139" s="382">
        <v>903.22580645161293</v>
      </c>
      <c r="O139" s="382">
        <v>966.66666666666663</v>
      </c>
      <c r="P139" s="382">
        <v>935.48387096774195</v>
      </c>
      <c r="Q139" s="382">
        <v>733.33333333333337</v>
      </c>
      <c r="R139" s="382">
        <v>870.9677419354839</v>
      </c>
      <c r="S139" s="382">
        <v>806.45161290322585</v>
      </c>
      <c r="T139" s="382">
        <v>1200</v>
      </c>
      <c r="U139" s="382">
        <v>1096.7741935483871</v>
      </c>
      <c r="V139" s="382">
        <v>1000</v>
      </c>
      <c r="W139" s="382">
        <v>967.74193548387098</v>
      </c>
      <c r="X139" s="163"/>
    </row>
    <row r="140" spans="1:24">
      <c r="A140" s="345"/>
      <c r="B140" s="345"/>
      <c r="C140" s="345"/>
      <c r="D140" s="345"/>
      <c r="E140" s="345"/>
      <c r="F140" s="345"/>
      <c r="G140" s="345"/>
      <c r="I140" s="375"/>
      <c r="J140" s="357">
        <v>3380811569</v>
      </c>
      <c r="K140" s="358" t="s">
        <v>63</v>
      </c>
      <c r="L140" s="382">
        <v>0</v>
      </c>
      <c r="M140" s="382">
        <v>35.714285714285715</v>
      </c>
      <c r="N140" s="382">
        <v>32.258064516129032</v>
      </c>
      <c r="O140" s="382">
        <v>0</v>
      </c>
      <c r="P140" s="382">
        <v>32.258064516129032</v>
      </c>
      <c r="Q140" s="382">
        <v>0</v>
      </c>
      <c r="R140" s="382">
        <v>32.258064516129032</v>
      </c>
      <c r="S140" s="382">
        <v>0</v>
      </c>
      <c r="T140" s="382">
        <v>33.333333333333336</v>
      </c>
      <c r="U140" s="382">
        <v>64.516129032258064</v>
      </c>
      <c r="V140" s="382">
        <v>33.333333333333336</v>
      </c>
      <c r="W140" s="382">
        <v>32.258064516129032</v>
      </c>
      <c r="X140" s="163"/>
    </row>
    <row r="141" spans="1:24">
      <c r="A141" s="345"/>
      <c r="B141" s="345"/>
      <c r="C141" s="345"/>
      <c r="D141" s="345"/>
      <c r="E141" s="345"/>
      <c r="F141" s="345"/>
      <c r="G141" s="345"/>
      <c r="I141" s="343"/>
      <c r="J141" s="343"/>
      <c r="K141" s="343"/>
      <c r="L141" s="368">
        <v>20451.612903225807</v>
      </c>
      <c r="M141" s="368">
        <v>52642.85714285713</v>
      </c>
      <c r="N141" s="368">
        <v>43096.774193548379</v>
      </c>
      <c r="O141" s="368">
        <v>51566.666666666672</v>
      </c>
      <c r="P141" s="368">
        <v>47419.354838709674</v>
      </c>
      <c r="Q141" s="368">
        <v>27133.333333333336</v>
      </c>
      <c r="R141" s="368">
        <v>30709.677419354837</v>
      </c>
      <c r="S141" s="368">
        <v>47322.580645161288</v>
      </c>
      <c r="T141" s="368">
        <v>68466.666666666657</v>
      </c>
      <c r="U141" s="368">
        <v>61064.516129032258</v>
      </c>
      <c r="V141" s="368">
        <v>42866.666666666672</v>
      </c>
      <c r="W141" s="368">
        <v>36096.774193548379</v>
      </c>
      <c r="X141" s="163"/>
    </row>
    <row r="142" spans="1:24">
      <c r="A142" s="345"/>
      <c r="B142" s="345"/>
      <c r="C142" s="345"/>
      <c r="D142" s="345"/>
      <c r="E142" s="345"/>
      <c r="F142" s="345"/>
      <c r="G142" s="345"/>
      <c r="I142" s="343"/>
      <c r="J142" s="343"/>
      <c r="K142" s="343"/>
      <c r="L142" s="343"/>
      <c r="M142" s="345"/>
      <c r="N142" s="345"/>
      <c r="O142" s="345"/>
      <c r="P142" s="345"/>
      <c r="Q142" s="345"/>
      <c r="R142" s="345"/>
      <c r="S142" s="345"/>
      <c r="T142" s="345"/>
      <c r="U142" s="345"/>
      <c r="V142" s="345"/>
      <c r="W142" s="345"/>
      <c r="X142" s="163"/>
    </row>
    <row r="143" spans="1:24" ht="15.75" thickBot="1">
      <c r="A143" s="345"/>
      <c r="B143" s="345"/>
      <c r="C143" s="345"/>
      <c r="D143" s="345"/>
      <c r="E143" s="345"/>
      <c r="F143" s="345"/>
      <c r="G143" s="345"/>
      <c r="I143" s="361"/>
      <c r="J143" s="361"/>
      <c r="K143" s="361"/>
      <c r="L143" s="361"/>
      <c r="M143" s="360"/>
      <c r="N143" s="360"/>
      <c r="O143" s="360"/>
      <c r="P143" s="360"/>
      <c r="Q143" s="360"/>
      <c r="R143" s="360"/>
      <c r="S143" s="360"/>
      <c r="T143" s="360"/>
      <c r="U143" s="360"/>
      <c r="V143" s="360"/>
      <c r="W143" s="360"/>
      <c r="X143" s="180"/>
    </row>
    <row r="144" spans="1:24" ht="15.75" thickBot="1">
      <c r="A144" s="387" t="s">
        <v>110</v>
      </c>
      <c r="B144" s="388"/>
      <c r="C144" s="388"/>
      <c r="D144" s="388"/>
      <c r="E144" s="388"/>
      <c r="F144" s="388"/>
      <c r="G144" s="389"/>
      <c r="I144" s="349" t="s">
        <v>73</v>
      </c>
      <c r="J144" s="374">
        <v>2024</v>
      </c>
      <c r="K144" s="343"/>
      <c r="L144" s="343"/>
      <c r="M144" s="343"/>
      <c r="N144" s="343"/>
      <c r="O144" s="343"/>
      <c r="P144" s="343"/>
      <c r="Q144" s="343"/>
      <c r="R144" s="343"/>
      <c r="S144" s="343"/>
      <c r="T144" s="343"/>
      <c r="U144" s="343"/>
      <c r="V144" s="343"/>
      <c r="W144" s="343"/>
      <c r="X144" s="163"/>
    </row>
    <row r="145" spans="1:24" ht="45">
      <c r="A145" s="191" t="s">
        <v>104</v>
      </c>
      <c r="B145" s="202" t="s">
        <v>75</v>
      </c>
      <c r="C145" s="202" t="s">
        <v>105</v>
      </c>
      <c r="D145" s="202" t="s">
        <v>106</v>
      </c>
      <c r="E145" s="174" t="s">
        <v>107</v>
      </c>
      <c r="F145" s="202" t="s">
        <v>108</v>
      </c>
      <c r="G145" s="204" t="s">
        <v>109</v>
      </c>
      <c r="I145" s="379"/>
      <c r="J145" s="350" t="s">
        <v>31</v>
      </c>
      <c r="K145" s="351" t="s">
        <v>32</v>
      </c>
      <c r="L145" s="352" t="s">
        <v>33</v>
      </c>
      <c r="M145" s="353" t="s">
        <v>34</v>
      </c>
      <c r="N145" s="354" t="s">
        <v>35</v>
      </c>
      <c r="O145" s="354" t="s">
        <v>36</v>
      </c>
      <c r="P145" s="354" t="s">
        <v>37</v>
      </c>
      <c r="Q145" s="354" t="s">
        <v>38</v>
      </c>
      <c r="R145" s="354" t="s">
        <v>39</v>
      </c>
      <c r="S145" s="354" t="s">
        <v>40</v>
      </c>
      <c r="T145" s="354" t="s">
        <v>41</v>
      </c>
      <c r="U145" s="354" t="s">
        <v>42</v>
      </c>
      <c r="V145" s="354" t="s">
        <v>43</v>
      </c>
      <c r="W145" s="354" t="s">
        <v>44</v>
      </c>
      <c r="X145" s="163"/>
    </row>
    <row r="146" spans="1:24">
      <c r="A146" s="198">
        <v>45377</v>
      </c>
      <c r="B146" s="346">
        <v>5</v>
      </c>
      <c r="C146" s="344" t="s">
        <v>86</v>
      </c>
      <c r="D146" s="344" t="s">
        <v>170</v>
      </c>
      <c r="E146" s="344">
        <v>0.01</v>
      </c>
      <c r="F146" s="346">
        <f t="shared" ref="F146" si="23">E146/B146</f>
        <v>2E-3</v>
      </c>
      <c r="G146" s="162">
        <f>F146*1000000</f>
        <v>2000</v>
      </c>
      <c r="I146" s="343"/>
      <c r="J146" s="355">
        <v>7534810685</v>
      </c>
      <c r="K146" s="358" t="s">
        <v>45</v>
      </c>
      <c r="L146" s="382">
        <v>354.83870967741933</v>
      </c>
      <c r="M146" s="382">
        <v>642.85714285714289</v>
      </c>
      <c r="N146" s="382">
        <v>645.16129032258061</v>
      </c>
      <c r="O146" s="382">
        <v>633.33333333333337</v>
      </c>
      <c r="P146" s="382">
        <v>451.61290322580646</v>
      </c>
      <c r="Q146" s="382">
        <v>500</v>
      </c>
      <c r="R146" s="382">
        <v>354.83870967741933</v>
      </c>
      <c r="S146" s="382">
        <v>354.83870967741933</v>
      </c>
      <c r="T146" s="382">
        <v>533.33333333333337</v>
      </c>
      <c r="U146" s="382">
        <v>322.58064516129031</v>
      </c>
      <c r="V146" s="382">
        <v>300</v>
      </c>
      <c r="W146" s="382">
        <v>258.06451612903226</v>
      </c>
      <c r="X146" s="163"/>
    </row>
    <row r="147" spans="1:24">
      <c r="A147" s="198">
        <v>45426</v>
      </c>
      <c r="B147" s="346">
        <v>66</v>
      </c>
      <c r="C147" s="344" t="s">
        <v>87</v>
      </c>
      <c r="D147" s="344" t="s">
        <v>171</v>
      </c>
      <c r="E147" s="344">
        <v>3.11</v>
      </c>
      <c r="F147" s="346">
        <f t="shared" ref="F147:F152" si="24">E147/B147</f>
        <v>4.7121212121212119E-2</v>
      </c>
      <c r="G147" s="162">
        <f t="shared" ref="G147:G152" si="25">F147*1000000</f>
        <v>47121.21212121212</v>
      </c>
      <c r="I147" s="343"/>
      <c r="J147" s="355">
        <v>4366050935</v>
      </c>
      <c r="K147" s="358" t="s">
        <v>46</v>
      </c>
      <c r="L147" s="382">
        <v>96.774193548387103</v>
      </c>
      <c r="M147" s="382">
        <v>821.42857142857144</v>
      </c>
      <c r="N147" s="382">
        <v>774.19354838709683</v>
      </c>
      <c r="O147" s="382">
        <v>766.66666666666663</v>
      </c>
      <c r="P147" s="382">
        <v>774.19354838709683</v>
      </c>
      <c r="Q147" s="382">
        <v>566.66666666666663</v>
      </c>
      <c r="R147" s="382">
        <v>1161.2903225806451</v>
      </c>
      <c r="S147" s="382">
        <v>483.87096774193549</v>
      </c>
      <c r="T147" s="382">
        <v>1566.6666666666667</v>
      </c>
      <c r="U147" s="382">
        <v>1516.1290322580646</v>
      </c>
      <c r="V147" s="382">
        <v>1600</v>
      </c>
      <c r="W147" s="382">
        <v>3483.8709677419356</v>
      </c>
      <c r="X147" s="163"/>
    </row>
    <row r="148" spans="1:24">
      <c r="A148" s="198">
        <v>45496</v>
      </c>
      <c r="B148" s="346">
        <v>63</v>
      </c>
      <c r="C148" s="344" t="s">
        <v>88</v>
      </c>
      <c r="D148" s="344" t="s">
        <v>172</v>
      </c>
      <c r="E148" s="344">
        <v>2.97</v>
      </c>
      <c r="F148" s="346">
        <f t="shared" si="24"/>
        <v>4.7142857142857146E-2</v>
      </c>
      <c r="G148" s="162">
        <f t="shared" si="25"/>
        <v>47142.857142857145</v>
      </c>
      <c r="I148" s="343"/>
      <c r="J148" s="355">
        <v>6366050937</v>
      </c>
      <c r="K148" s="358" t="s">
        <v>47</v>
      </c>
      <c r="L148" s="382">
        <v>0</v>
      </c>
      <c r="M148" s="382">
        <v>428.57142857142856</v>
      </c>
      <c r="N148" s="382">
        <v>419.35483870967744</v>
      </c>
      <c r="O148" s="382">
        <v>433.33333333333331</v>
      </c>
      <c r="P148" s="382">
        <v>419.35483870967744</v>
      </c>
      <c r="Q148" s="382">
        <v>2133.3333333333335</v>
      </c>
      <c r="R148" s="382">
        <v>0</v>
      </c>
      <c r="S148" s="382">
        <v>32.258064516129032</v>
      </c>
      <c r="T148" s="382">
        <v>500</v>
      </c>
      <c r="U148" s="382">
        <v>1548.3870967741937</v>
      </c>
      <c r="V148" s="382">
        <v>733.33333333333337</v>
      </c>
      <c r="W148" s="382">
        <v>645.16129032258061</v>
      </c>
      <c r="X148" s="163"/>
    </row>
    <row r="149" spans="1:24">
      <c r="A149" s="198">
        <v>45568</v>
      </c>
      <c r="B149" s="346">
        <v>63</v>
      </c>
      <c r="C149" s="344" t="s">
        <v>89</v>
      </c>
      <c r="D149" s="344" t="s">
        <v>173</v>
      </c>
      <c r="E149" s="344">
        <v>2.65</v>
      </c>
      <c r="F149" s="346">
        <f t="shared" si="24"/>
        <v>4.206349206349206E-2</v>
      </c>
      <c r="G149" s="162">
        <f t="shared" si="25"/>
        <v>42063.492063492056</v>
      </c>
      <c r="I149" s="343"/>
      <c r="J149" s="355">
        <v>7366050938</v>
      </c>
      <c r="K149" s="358" t="s">
        <v>48</v>
      </c>
      <c r="L149" s="382">
        <v>516.12903225806451</v>
      </c>
      <c r="M149" s="382">
        <v>1035.7142857142858</v>
      </c>
      <c r="N149" s="382">
        <v>838.70967741935488</v>
      </c>
      <c r="O149" s="382">
        <v>1400</v>
      </c>
      <c r="P149" s="382">
        <v>1806.4516129032259</v>
      </c>
      <c r="Q149" s="382">
        <v>433.33333333333331</v>
      </c>
      <c r="R149" s="382">
        <v>612.90322580645159</v>
      </c>
      <c r="S149" s="382">
        <v>1290.3225806451612</v>
      </c>
      <c r="T149" s="382">
        <v>1333.3333333333333</v>
      </c>
      <c r="U149" s="382">
        <v>806.45161290322585</v>
      </c>
      <c r="V149" s="382">
        <v>1200</v>
      </c>
      <c r="W149" s="382">
        <v>1322.5806451612902</v>
      </c>
      <c r="X149" s="163"/>
    </row>
    <row r="150" spans="1:24">
      <c r="A150" s="198">
        <v>45645</v>
      </c>
      <c r="B150" s="346">
        <v>63</v>
      </c>
      <c r="C150" s="344" t="s">
        <v>90</v>
      </c>
      <c r="D150" s="344" t="s">
        <v>174</v>
      </c>
      <c r="E150" s="344">
        <v>2.65</v>
      </c>
      <c r="F150" s="346">
        <f t="shared" si="24"/>
        <v>4.206349206349206E-2</v>
      </c>
      <c r="G150" s="162">
        <f t="shared" si="25"/>
        <v>42063.492063492056</v>
      </c>
      <c r="I150" s="343"/>
      <c r="J150" s="355">
        <v>3366050934</v>
      </c>
      <c r="K150" s="358" t="s">
        <v>49</v>
      </c>
      <c r="L150" s="382">
        <v>1193.5483870967741</v>
      </c>
      <c r="M150" s="382">
        <v>3500</v>
      </c>
      <c r="N150" s="382">
        <v>2580.6451612903224</v>
      </c>
      <c r="O150" s="382">
        <v>2900</v>
      </c>
      <c r="P150" s="382">
        <v>2516.1290322580644</v>
      </c>
      <c r="Q150" s="382">
        <v>766.66666666666663</v>
      </c>
      <c r="R150" s="382">
        <v>483.87096774193549</v>
      </c>
      <c r="S150" s="382">
        <v>580.64516129032256</v>
      </c>
      <c r="T150" s="382">
        <v>2100</v>
      </c>
      <c r="U150" s="382">
        <v>3193.5483870967741</v>
      </c>
      <c r="V150" s="382">
        <v>7200</v>
      </c>
      <c r="W150" s="382">
        <v>3096.7741935483873</v>
      </c>
      <c r="X150" s="163"/>
    </row>
    <row r="151" spans="1:24">
      <c r="A151" s="198">
        <v>45708</v>
      </c>
      <c r="B151" s="346">
        <v>63</v>
      </c>
      <c r="C151" s="344" t="s">
        <v>91</v>
      </c>
      <c r="D151" s="344" t="s">
        <v>175</v>
      </c>
      <c r="E151" s="344">
        <v>2.4500000000000002</v>
      </c>
      <c r="F151" s="346">
        <f t="shared" si="24"/>
        <v>3.888888888888889E-2</v>
      </c>
      <c r="G151" s="162">
        <f t="shared" si="25"/>
        <v>38888.888888888891</v>
      </c>
      <c r="J151" s="356">
        <v>5581150299</v>
      </c>
      <c r="K151" s="358" t="s">
        <v>50</v>
      </c>
      <c r="L151" s="382">
        <v>225.80645161290323</v>
      </c>
      <c r="M151" s="382">
        <v>6642.8571428571431</v>
      </c>
      <c r="N151" s="382">
        <v>6645.1612903225805</v>
      </c>
      <c r="O151" s="382">
        <v>9266.6666666666661</v>
      </c>
      <c r="P151" s="382">
        <v>7193.5483870967746</v>
      </c>
      <c r="Q151" s="382">
        <v>4266.666666666667</v>
      </c>
      <c r="R151" s="382">
        <v>2064.516129032258</v>
      </c>
      <c r="S151" s="382">
        <v>322.58064516129031</v>
      </c>
      <c r="T151" s="382">
        <v>4066.6666666666665</v>
      </c>
      <c r="U151" s="382">
        <v>4645.1612903225805</v>
      </c>
      <c r="V151" s="382">
        <v>5100</v>
      </c>
      <c r="W151" s="382">
        <v>4483.8709677419356</v>
      </c>
      <c r="X151" s="163"/>
    </row>
    <row r="152" spans="1:24" ht="15.75" thickBot="1">
      <c r="A152" s="176">
        <v>45722</v>
      </c>
      <c r="B152" s="188">
        <v>44</v>
      </c>
      <c r="C152" s="160" t="s">
        <v>92</v>
      </c>
      <c r="D152" s="160" t="s">
        <v>176</v>
      </c>
      <c r="E152" s="160">
        <v>1.64</v>
      </c>
      <c r="F152" s="188">
        <f t="shared" si="24"/>
        <v>3.727272727272727E-2</v>
      </c>
      <c r="G152" s="183">
        <f t="shared" si="25"/>
        <v>37272.727272727272</v>
      </c>
      <c r="J152" s="356">
        <v>5366050936</v>
      </c>
      <c r="K152" s="358" t="s">
        <v>51</v>
      </c>
      <c r="L152" s="382">
        <v>225.80645161290323</v>
      </c>
      <c r="M152" s="382">
        <v>1285.7142857142858</v>
      </c>
      <c r="N152" s="382">
        <v>1193.5483870967741</v>
      </c>
      <c r="O152" s="382">
        <v>1133.3333333333333</v>
      </c>
      <c r="P152" s="382">
        <v>1258.0645161290322</v>
      </c>
      <c r="Q152" s="382">
        <v>366.66666666666669</v>
      </c>
      <c r="R152" s="382">
        <v>483.87096774193549</v>
      </c>
      <c r="S152" s="382">
        <v>1967.741935483871</v>
      </c>
      <c r="T152" s="382">
        <v>2733.3333333333335</v>
      </c>
      <c r="U152" s="382">
        <v>967.74193548387098</v>
      </c>
      <c r="V152" s="382">
        <v>3000</v>
      </c>
      <c r="W152" s="382">
        <v>4903.2258064516127</v>
      </c>
      <c r="X152" s="163"/>
    </row>
    <row r="153" spans="1:24" ht="15.75" thickBot="1">
      <c r="A153" s="345"/>
      <c r="B153" s="345"/>
      <c r="C153" s="345"/>
      <c r="D153" s="345"/>
      <c r="E153" s="345"/>
      <c r="F153" s="345"/>
      <c r="G153" s="345"/>
      <c r="J153" s="356">
        <v>2052150585</v>
      </c>
      <c r="K153" s="358" t="s">
        <v>52</v>
      </c>
      <c r="L153" s="382">
        <v>3935.483870967742</v>
      </c>
      <c r="M153" s="382">
        <v>7714.2857142857147</v>
      </c>
      <c r="N153" s="382">
        <v>5032.2580645161288</v>
      </c>
      <c r="O153" s="382">
        <v>5500</v>
      </c>
      <c r="P153" s="382">
        <v>7096.7741935483873</v>
      </c>
      <c r="Q153" s="382">
        <v>9400</v>
      </c>
      <c r="R153" s="382">
        <v>13516.129032258064</v>
      </c>
      <c r="S153" s="382">
        <v>13000</v>
      </c>
      <c r="T153" s="382">
        <v>14600</v>
      </c>
      <c r="U153" s="382">
        <v>12354.838709677419</v>
      </c>
      <c r="V153" s="382">
        <v>6433.333333333333</v>
      </c>
      <c r="W153" s="382">
        <v>3612.9032258064517</v>
      </c>
      <c r="X153" s="163"/>
    </row>
    <row r="154" spans="1:24" ht="15.75" thickBot="1">
      <c r="A154" s="390" t="s">
        <v>113</v>
      </c>
      <c r="B154" s="391"/>
      <c r="C154" s="391"/>
      <c r="D154" s="391"/>
      <c r="E154" s="391"/>
      <c r="F154" s="391"/>
      <c r="G154" s="392"/>
      <c r="J154" s="356">
        <v>8635150066</v>
      </c>
      <c r="K154" s="358" t="s">
        <v>53</v>
      </c>
      <c r="L154" s="382">
        <v>96.774193548387103</v>
      </c>
      <c r="M154" s="382">
        <v>607.14285714285711</v>
      </c>
      <c r="N154" s="382">
        <v>225.80645161290323</v>
      </c>
      <c r="O154" s="382">
        <v>133.33333333333334</v>
      </c>
      <c r="P154" s="382">
        <v>129.03225806451613</v>
      </c>
      <c r="Q154" s="382">
        <v>0</v>
      </c>
      <c r="R154" s="382">
        <v>64.516129032258064</v>
      </c>
      <c r="S154" s="382">
        <v>32.258064516129032</v>
      </c>
      <c r="T154" s="382">
        <v>100</v>
      </c>
      <c r="U154" s="382">
        <v>225.80645161290323</v>
      </c>
      <c r="V154" s="382">
        <v>300</v>
      </c>
      <c r="W154" s="382">
        <v>225.80645161290323</v>
      </c>
      <c r="X154" s="163"/>
    </row>
    <row r="155" spans="1:24" ht="45">
      <c r="A155" s="184" t="s">
        <v>111</v>
      </c>
      <c r="B155" s="169" t="s">
        <v>75</v>
      </c>
      <c r="C155" s="169" t="s">
        <v>106</v>
      </c>
      <c r="D155" s="199" t="s">
        <v>112</v>
      </c>
      <c r="E155" s="202" t="s">
        <v>108</v>
      </c>
      <c r="F155" s="165" t="s">
        <v>101</v>
      </c>
      <c r="G155" s="196" t="s">
        <v>114</v>
      </c>
      <c r="J155" s="357">
        <v>6663150208</v>
      </c>
      <c r="K155" s="358" t="s">
        <v>54</v>
      </c>
      <c r="L155" s="382">
        <v>129.03225806451613</v>
      </c>
      <c r="M155" s="382">
        <v>464.28571428571428</v>
      </c>
      <c r="N155" s="382">
        <v>483.87096774193549</v>
      </c>
      <c r="O155" s="382">
        <v>500</v>
      </c>
      <c r="P155" s="382">
        <v>677.41935483870964</v>
      </c>
      <c r="Q155" s="382">
        <v>266.66666666666669</v>
      </c>
      <c r="R155" s="382">
        <v>193.54838709677421</v>
      </c>
      <c r="S155" s="382">
        <v>258.06451612903226</v>
      </c>
      <c r="T155" s="382">
        <v>466.66666666666669</v>
      </c>
      <c r="U155" s="382">
        <v>870.9677419354839</v>
      </c>
      <c r="V155" s="382">
        <v>733.33333333333337</v>
      </c>
      <c r="W155" s="382">
        <v>580.64516129032256</v>
      </c>
      <c r="X155" s="163"/>
    </row>
    <row r="156" spans="1:24">
      <c r="A156" s="198">
        <v>45377</v>
      </c>
      <c r="B156" s="346">
        <v>5</v>
      </c>
      <c r="C156" s="344" t="s">
        <v>170</v>
      </c>
      <c r="D156" s="347">
        <f>(L165*5)</f>
        <v>61935.483870967735</v>
      </c>
      <c r="E156" s="347">
        <f>D156/B156</f>
        <v>12387.096774193547</v>
      </c>
      <c r="F156" s="172">
        <f>G146-E156</f>
        <v>-10387.096774193547</v>
      </c>
      <c r="G156" s="193">
        <f>(AVERAGE(V141:W141))*5</f>
        <v>197408.60215053763</v>
      </c>
      <c r="J156" s="356">
        <v>6068150813</v>
      </c>
      <c r="K156" s="358" t="s">
        <v>55</v>
      </c>
      <c r="L156" s="382">
        <v>1032.258064516129</v>
      </c>
      <c r="M156" s="382">
        <v>928.57142857142856</v>
      </c>
      <c r="N156" s="382">
        <v>612.90322580645159</v>
      </c>
      <c r="O156" s="382">
        <v>633.33333333333337</v>
      </c>
      <c r="P156" s="382">
        <v>1774.1935483870968</v>
      </c>
      <c r="Q156" s="382">
        <v>5866.666666666667</v>
      </c>
      <c r="R156" s="382">
        <v>8677.4193548387102</v>
      </c>
      <c r="S156" s="382">
        <v>7032.2580645161288</v>
      </c>
      <c r="T156" s="382">
        <v>8500</v>
      </c>
      <c r="U156" s="382">
        <v>5580.6451612903229</v>
      </c>
      <c r="V156" s="382">
        <v>2566.6666666666665</v>
      </c>
      <c r="W156" s="382">
        <v>483.87096774193549</v>
      </c>
      <c r="X156" s="163"/>
    </row>
    <row r="157" spans="1:24">
      <c r="A157" s="198">
        <v>45426</v>
      </c>
      <c r="B157" s="346">
        <v>66</v>
      </c>
      <c r="C157" s="344" t="s">
        <v>171</v>
      </c>
      <c r="D157" s="347">
        <f>(L165*27)+(M165*28)+(N165*11)</f>
        <v>1830258.064516129</v>
      </c>
      <c r="E157" s="347">
        <f t="shared" ref="E157:E162" si="26">D157/B157</f>
        <v>27731.182795698925</v>
      </c>
      <c r="F157" s="189">
        <f t="shared" ref="F157:F162" si="27">G147-E157</f>
        <v>19390.029325513195</v>
      </c>
      <c r="G157" s="193">
        <f>M165*66</f>
        <v>2625857.1428571427</v>
      </c>
      <c r="J157" s="357">
        <v>5068150812</v>
      </c>
      <c r="K157" s="358" t="s">
        <v>56</v>
      </c>
      <c r="L157" s="382">
        <v>161.29032258064515</v>
      </c>
      <c r="M157" s="382">
        <v>428.57142857142856</v>
      </c>
      <c r="N157" s="382">
        <v>387.09677419354841</v>
      </c>
      <c r="O157" s="382">
        <v>400</v>
      </c>
      <c r="P157" s="382">
        <v>387.09677419354841</v>
      </c>
      <c r="Q157" s="382">
        <v>200</v>
      </c>
      <c r="R157" s="382">
        <v>129.03225806451613</v>
      </c>
      <c r="S157" s="382">
        <v>193.54838709677421</v>
      </c>
      <c r="T157" s="382">
        <v>233.33333333333334</v>
      </c>
      <c r="U157" s="382">
        <v>290.32258064516128</v>
      </c>
      <c r="V157" s="382">
        <v>700</v>
      </c>
      <c r="W157" s="382">
        <v>290.32258064516128</v>
      </c>
      <c r="X157" s="163"/>
    </row>
    <row r="158" spans="1:24">
      <c r="A158" s="198">
        <v>45496</v>
      </c>
      <c r="B158" s="346">
        <v>63</v>
      </c>
      <c r="C158" s="344" t="s">
        <v>172</v>
      </c>
      <c r="D158" s="347">
        <f>(N165*20)+(O165*30)+(P165*13)</f>
        <v>2406096.7741935486</v>
      </c>
      <c r="E158" s="347">
        <f t="shared" si="26"/>
        <v>38192.012288786485</v>
      </c>
      <c r="F158" s="189">
        <f t="shared" si="27"/>
        <v>8950.8448540706595</v>
      </c>
      <c r="G158" s="193">
        <f>O165*63</f>
        <v>2480100</v>
      </c>
      <c r="J158" s="357">
        <v>2364150700</v>
      </c>
      <c r="K158" s="358" t="s">
        <v>57</v>
      </c>
      <c r="L158" s="382">
        <v>612.90322580645159</v>
      </c>
      <c r="M158" s="382">
        <v>1428.5714285714287</v>
      </c>
      <c r="N158" s="382">
        <v>1645.1612903225807</v>
      </c>
      <c r="O158" s="382">
        <v>966.66666666666663</v>
      </c>
      <c r="P158" s="382">
        <v>967.74193548387098</v>
      </c>
      <c r="Q158" s="382">
        <v>1233.3333333333333</v>
      </c>
      <c r="R158" s="382">
        <v>1032.258064516129</v>
      </c>
      <c r="S158" s="382">
        <v>1161.2903225806451</v>
      </c>
      <c r="T158" s="382">
        <v>1866.6666666666667</v>
      </c>
      <c r="U158" s="382">
        <v>1903.2258064516129</v>
      </c>
      <c r="V158" s="382">
        <v>1700</v>
      </c>
      <c r="W158" s="382">
        <v>806.45161290322585</v>
      </c>
      <c r="X158" s="163"/>
    </row>
    <row r="159" spans="1:24">
      <c r="A159" s="198">
        <v>45568</v>
      </c>
      <c r="B159" s="346">
        <v>63</v>
      </c>
      <c r="C159" s="344" t="s">
        <v>173</v>
      </c>
      <c r="D159" s="347">
        <f>(P165*18)+(Q165*30)+(R165*15)</f>
        <v>2623935.4838709682</v>
      </c>
      <c r="E159" s="347">
        <f t="shared" si="26"/>
        <v>41649.769585253467</v>
      </c>
      <c r="F159" s="189">
        <f t="shared" si="27"/>
        <v>413.72247823858925</v>
      </c>
      <c r="G159" s="193">
        <f>Q165*63</f>
        <v>2538900.0000000005</v>
      </c>
      <c r="J159" s="357">
        <v>1364150699</v>
      </c>
      <c r="K159" s="358" t="s">
        <v>58</v>
      </c>
      <c r="L159" s="382">
        <v>290.32258064516128</v>
      </c>
      <c r="M159" s="382">
        <v>2821.4285714285716</v>
      </c>
      <c r="N159" s="382">
        <v>2387.0967741935483</v>
      </c>
      <c r="O159" s="382">
        <v>3100</v>
      </c>
      <c r="P159" s="382">
        <v>2677.4193548387098</v>
      </c>
      <c r="Q159" s="382">
        <v>366.66666666666669</v>
      </c>
      <c r="R159" s="382">
        <v>387.09677419354841</v>
      </c>
      <c r="S159" s="382">
        <v>3064.516129032258</v>
      </c>
      <c r="T159" s="382">
        <v>4300</v>
      </c>
      <c r="U159" s="382">
        <v>4064.516129032258</v>
      </c>
      <c r="V159" s="382">
        <v>2533.3333333333335</v>
      </c>
      <c r="W159" s="382">
        <v>1645.1612903225807</v>
      </c>
      <c r="X159" s="163"/>
    </row>
    <row r="160" spans="1:24">
      <c r="A160" s="198">
        <v>45645</v>
      </c>
      <c r="B160" s="346">
        <v>63</v>
      </c>
      <c r="C160" s="344" t="s">
        <v>174</v>
      </c>
      <c r="D160" s="347">
        <f>(R165*16)+(S165*31)+(T165*16)</f>
        <v>3346494.6236559134</v>
      </c>
      <c r="E160" s="347">
        <f t="shared" si="26"/>
        <v>53118.962280252592</v>
      </c>
      <c r="F160" s="172">
        <f t="shared" si="27"/>
        <v>-11055.470216760536</v>
      </c>
      <c r="G160" s="193">
        <f>S165*63</f>
        <v>3137806.4516129028</v>
      </c>
      <c r="J160" s="356">
        <v>2068150809</v>
      </c>
      <c r="K160" s="358" t="s">
        <v>59</v>
      </c>
      <c r="L160" s="382">
        <v>0</v>
      </c>
      <c r="M160" s="382">
        <v>71.428571428571431</v>
      </c>
      <c r="N160" s="382">
        <v>64.516129032258064</v>
      </c>
      <c r="O160" s="382">
        <v>33.333333333333336</v>
      </c>
      <c r="P160" s="382">
        <v>64.516129032258064</v>
      </c>
      <c r="Q160" s="382">
        <v>33.333333333333336</v>
      </c>
      <c r="R160" s="382">
        <v>32.258064516129032</v>
      </c>
      <c r="S160" s="382">
        <v>32.258064516129032</v>
      </c>
      <c r="T160" s="382">
        <v>33.333333333333336</v>
      </c>
      <c r="U160" s="382">
        <v>64.516129032258064</v>
      </c>
      <c r="V160" s="382">
        <v>33.333333333333336</v>
      </c>
      <c r="W160" s="382">
        <v>32.258064516129032</v>
      </c>
      <c r="X160" s="163"/>
    </row>
    <row r="161" spans="1:24">
      <c r="A161" s="198">
        <v>45708</v>
      </c>
      <c r="B161" s="346">
        <v>63</v>
      </c>
      <c r="C161" s="344" t="s">
        <v>175</v>
      </c>
      <c r="D161" s="347">
        <f>(T165*14)+(U165*31)+(V165*18)</f>
        <v>3725066.6666666665</v>
      </c>
      <c r="E161" s="347">
        <f t="shared" si="26"/>
        <v>59128.042328042327</v>
      </c>
      <c r="F161" s="172">
        <f t="shared" si="27"/>
        <v>-20239.153439153437</v>
      </c>
      <c r="G161" s="193">
        <f>U165*63</f>
        <v>3808451.6129032257</v>
      </c>
      <c r="J161" s="356">
        <v>5756250297</v>
      </c>
      <c r="K161" s="358" t="s">
        <v>60</v>
      </c>
      <c r="L161" s="382">
        <v>32.258064516129032</v>
      </c>
      <c r="M161" s="382">
        <v>107.14285714285714</v>
      </c>
      <c r="N161" s="382">
        <v>96.774193548387103</v>
      </c>
      <c r="O161" s="382">
        <v>100</v>
      </c>
      <c r="P161" s="382">
        <v>258.06451612903226</v>
      </c>
      <c r="Q161" s="382">
        <v>66.666666666666671</v>
      </c>
      <c r="R161" s="382">
        <v>161.29032258064515</v>
      </c>
      <c r="S161" s="382">
        <v>96.774193548387103</v>
      </c>
      <c r="T161" s="382">
        <v>100</v>
      </c>
      <c r="U161" s="382">
        <v>96.774193548387103</v>
      </c>
      <c r="V161" s="382">
        <v>100</v>
      </c>
      <c r="W161" s="382">
        <v>96.774193548387103</v>
      </c>
      <c r="X161" s="163"/>
    </row>
    <row r="162" spans="1:24">
      <c r="A162" s="198">
        <v>45722</v>
      </c>
      <c r="B162" s="346">
        <v>44</v>
      </c>
      <c r="C162" s="344" t="s">
        <v>176</v>
      </c>
      <c r="D162" s="347">
        <f>(V165*13)+(W165*31)</f>
        <v>1851066.6666666667</v>
      </c>
      <c r="E162" s="347">
        <f t="shared" si="26"/>
        <v>42069.696969696968</v>
      </c>
      <c r="F162" s="172">
        <f t="shared" si="27"/>
        <v>-4796.9696969696961</v>
      </c>
      <c r="G162" s="193">
        <f>W165*44</f>
        <v>1696129.0322580647</v>
      </c>
      <c r="J162" s="357">
        <v>1665911804</v>
      </c>
      <c r="K162" s="358" t="s">
        <v>61</v>
      </c>
      <c r="L162" s="382">
        <v>3032.2580645161293</v>
      </c>
      <c r="M162" s="382">
        <v>9785.7142857142862</v>
      </c>
      <c r="N162" s="382">
        <v>9709.677419354839</v>
      </c>
      <c r="O162" s="382">
        <v>10500</v>
      </c>
      <c r="P162" s="382">
        <v>11129.032258064517</v>
      </c>
      <c r="Q162" s="382">
        <v>12566.666666666666</v>
      </c>
      <c r="R162" s="382">
        <v>15322.58064516129</v>
      </c>
      <c r="S162" s="382">
        <v>19193.548387096773</v>
      </c>
      <c r="T162" s="382">
        <v>23366.666666666668</v>
      </c>
      <c r="U162" s="382">
        <v>20967.741935483871</v>
      </c>
      <c r="V162" s="382">
        <v>15233.333333333334</v>
      </c>
      <c r="W162" s="382">
        <v>11806.451612903225</v>
      </c>
      <c r="X162" s="163"/>
    </row>
    <row r="163" spans="1:24" ht="15.75" thickBot="1">
      <c r="A163" s="192"/>
      <c r="B163" s="161"/>
      <c r="C163" s="161"/>
      <c r="D163" s="188"/>
      <c r="E163" s="188"/>
      <c r="F163" s="182"/>
      <c r="G163" s="166"/>
      <c r="J163" s="357">
        <v>3054467971</v>
      </c>
      <c r="K163" s="358" t="s">
        <v>62</v>
      </c>
      <c r="L163" s="382">
        <v>451.61290322580646</v>
      </c>
      <c r="M163" s="382">
        <v>1035.7142857142858</v>
      </c>
      <c r="N163" s="382">
        <v>935.48387096774195</v>
      </c>
      <c r="O163" s="382">
        <v>966.66666666666663</v>
      </c>
      <c r="P163" s="382">
        <v>1225.8064516129032</v>
      </c>
      <c r="Q163" s="382">
        <v>1233.3333333333333</v>
      </c>
      <c r="R163" s="382">
        <v>612.90322580645159</v>
      </c>
      <c r="S163" s="382">
        <v>677.41935483870964</v>
      </c>
      <c r="T163" s="382">
        <v>933.33333333333337</v>
      </c>
      <c r="U163" s="382">
        <v>967.74193548387098</v>
      </c>
      <c r="V163" s="382">
        <v>966.66666666666663</v>
      </c>
      <c r="W163" s="382">
        <v>741.93548387096769</v>
      </c>
      <c r="X163" s="163"/>
    </row>
    <row r="164" spans="1:24">
      <c r="A164" s="345"/>
      <c r="B164" s="345"/>
      <c r="C164" s="345"/>
      <c r="D164" s="345"/>
      <c r="E164" s="345"/>
      <c r="F164" s="345"/>
      <c r="G164" s="345"/>
      <c r="J164" s="357">
        <v>3380811569</v>
      </c>
      <c r="K164" s="358" t="s">
        <v>63</v>
      </c>
      <c r="L164" s="382">
        <v>0</v>
      </c>
      <c r="M164" s="382">
        <v>35.714285714285715</v>
      </c>
      <c r="N164" s="382">
        <v>32.258064516129032</v>
      </c>
      <c r="O164" s="382">
        <v>0</v>
      </c>
      <c r="P164" s="382">
        <v>32.258064516129032</v>
      </c>
      <c r="Q164" s="382">
        <v>33.333333333333336</v>
      </c>
      <c r="R164" s="382">
        <v>32.258064516129032</v>
      </c>
      <c r="S164" s="382">
        <v>32.258064516129032</v>
      </c>
      <c r="T164" s="382">
        <v>0</v>
      </c>
      <c r="U164" s="382">
        <v>64.516129032258064</v>
      </c>
      <c r="V164" s="382">
        <v>33.333333333333336</v>
      </c>
      <c r="W164" s="382">
        <v>32.258064516129032</v>
      </c>
      <c r="X164" s="163"/>
    </row>
    <row r="165" spans="1:24">
      <c r="A165" s="345"/>
      <c r="B165" s="345"/>
      <c r="C165" s="345"/>
      <c r="D165" s="345"/>
      <c r="E165" s="345"/>
      <c r="F165" s="345"/>
      <c r="G165" s="345"/>
      <c r="J165" s="343"/>
      <c r="K165" s="343"/>
      <c r="L165" s="348">
        <v>12387.096774193547</v>
      </c>
      <c r="M165" s="348">
        <v>39785.714285714283</v>
      </c>
      <c r="N165" s="348">
        <v>34709.677419354834</v>
      </c>
      <c r="O165" s="348">
        <v>39366.666666666664</v>
      </c>
      <c r="P165" s="348">
        <v>40838.709677419356</v>
      </c>
      <c r="Q165" s="348">
        <v>40300.000000000007</v>
      </c>
      <c r="R165" s="348">
        <v>45322.580645161295</v>
      </c>
      <c r="S165" s="348">
        <v>49806.45161290322</v>
      </c>
      <c r="T165" s="348">
        <v>67333.333333333328</v>
      </c>
      <c r="U165" s="348">
        <v>60451.612903225803</v>
      </c>
      <c r="V165" s="348">
        <v>50466.666666666672</v>
      </c>
      <c r="W165" s="348">
        <v>38548.387096774197</v>
      </c>
      <c r="X165" s="163"/>
    </row>
    <row r="166" spans="1:24" ht="15.75" thickBot="1">
      <c r="I166" s="190"/>
      <c r="J166" s="190"/>
      <c r="K166" s="190"/>
      <c r="L166" s="190"/>
      <c r="M166" s="190"/>
      <c r="N166" s="190"/>
      <c r="O166" s="190"/>
      <c r="P166" s="190"/>
      <c r="Q166" s="190"/>
      <c r="R166" s="190"/>
      <c r="S166" s="190"/>
      <c r="T166" s="190"/>
      <c r="U166" s="190"/>
      <c r="V166" s="190"/>
      <c r="W166" s="190"/>
      <c r="X166" s="181"/>
    </row>
    <row r="167" spans="1:24" ht="15.75" thickTop="1"/>
  </sheetData>
  <mergeCells count="12">
    <mergeCell ref="A26:G26"/>
    <mergeCell ref="A34:G34"/>
    <mergeCell ref="A48:G48"/>
    <mergeCell ref="A57:G57"/>
    <mergeCell ref="A72:G72"/>
    <mergeCell ref="A144:G144"/>
    <mergeCell ref="A154:G154"/>
    <mergeCell ref="A82:G82"/>
    <mergeCell ref="A96:G96"/>
    <mergeCell ref="A105:G105"/>
    <mergeCell ref="A120:G120"/>
    <mergeCell ref="A129:G129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02"/>
  <sheetViews>
    <sheetView topLeftCell="F43" workbookViewId="0">
      <selection activeCell="U3" sqref="U3"/>
    </sheetView>
  </sheetViews>
  <sheetFormatPr defaultRowHeight="15"/>
  <cols>
    <col min="1" max="1" width="35.140625" style="5" customWidth="1"/>
    <col min="2" max="2" width="20.28515625" style="5" customWidth="1"/>
    <col min="3" max="3" width="25.7109375" style="5" customWidth="1"/>
    <col min="4" max="4" width="18.5703125" style="5" customWidth="1"/>
    <col min="5" max="5" width="9.140625" style="5"/>
    <col min="6" max="6" width="19.140625" style="5" customWidth="1"/>
    <col min="7" max="7" width="18.140625" style="5" customWidth="1"/>
    <col min="8" max="8" width="22.140625" style="5" customWidth="1"/>
    <col min="9" max="9" width="12" style="5" customWidth="1"/>
    <col min="10" max="10" width="11.5703125" style="4" customWidth="1"/>
    <col min="11" max="11" width="19.140625" style="4" customWidth="1"/>
    <col min="12" max="20" width="13.7109375" style="4" customWidth="1"/>
    <col min="21" max="21" width="15.28515625" style="5" customWidth="1"/>
    <col min="22" max="22" width="12.42578125" style="5" customWidth="1"/>
    <col min="23" max="23" width="13.28515625" customWidth="1"/>
  </cols>
  <sheetData>
    <row r="1" spans="1:24" ht="45">
      <c r="A1" s="3" t="s">
        <v>0</v>
      </c>
      <c r="B1" s="3" t="s">
        <v>1</v>
      </c>
      <c r="C1" s="3" t="s">
        <v>2</v>
      </c>
      <c r="D1" s="3" t="s">
        <v>14</v>
      </c>
      <c r="E1" s="3" t="s">
        <v>15</v>
      </c>
      <c r="F1" s="3" t="s">
        <v>3</v>
      </c>
      <c r="G1" s="3" t="s">
        <v>4</v>
      </c>
      <c r="H1" s="3" t="s">
        <v>5</v>
      </c>
      <c r="I1" s="3" t="s">
        <v>6</v>
      </c>
      <c r="J1" s="13"/>
      <c r="K1" s="15" t="s">
        <v>17</v>
      </c>
      <c r="L1" s="1" t="s">
        <v>18</v>
      </c>
      <c r="M1" s="1" t="s">
        <v>19</v>
      </c>
      <c r="N1" s="1" t="s">
        <v>20</v>
      </c>
      <c r="O1" s="1" t="s">
        <v>21</v>
      </c>
      <c r="P1" s="144" t="s">
        <v>22</v>
      </c>
      <c r="Q1" s="144" t="s">
        <v>23</v>
      </c>
      <c r="R1" s="144" t="s">
        <v>24</v>
      </c>
      <c r="S1" s="144" t="s">
        <v>25</v>
      </c>
      <c r="T1" s="144" t="s">
        <v>26</v>
      </c>
      <c r="U1" s="144" t="s">
        <v>99</v>
      </c>
      <c r="V1" s="1" t="s">
        <v>27</v>
      </c>
      <c r="W1" s="1" t="s">
        <v>29</v>
      </c>
      <c r="X1" s="3" t="s">
        <v>28</v>
      </c>
    </row>
    <row r="2" spans="1:24">
      <c r="A2" s="7" t="s">
        <v>13</v>
      </c>
      <c r="B2" s="6" t="s">
        <v>8</v>
      </c>
      <c r="C2" s="6" t="s">
        <v>11</v>
      </c>
      <c r="D2" s="6" t="s">
        <v>16</v>
      </c>
      <c r="E2" s="6">
        <v>143</v>
      </c>
      <c r="F2" s="6" t="s">
        <v>10</v>
      </c>
      <c r="G2" s="6" t="s">
        <v>12</v>
      </c>
      <c r="H2" s="6">
        <v>50</v>
      </c>
      <c r="I2" s="6" t="s">
        <v>9</v>
      </c>
      <c r="J2" s="12"/>
      <c r="K2" s="6">
        <f>K3+K4+K5+K6+K7+K8+K9</f>
        <v>12.969999999999999</v>
      </c>
      <c r="L2" s="12">
        <f t="shared" ref="L2:T2" si="0">L3+L4+L5+L6+L7+L8+L9</f>
        <v>12.41</v>
      </c>
      <c r="M2" s="12">
        <f t="shared" si="0"/>
        <v>14.729999999999999</v>
      </c>
      <c r="N2" s="12">
        <f t="shared" si="0"/>
        <v>21.45</v>
      </c>
      <c r="O2" s="12">
        <f t="shared" si="0"/>
        <v>18.73</v>
      </c>
      <c r="P2" s="85">
        <v>22.26</v>
      </c>
      <c r="Q2" s="85">
        <f t="shared" si="0"/>
        <v>6.79</v>
      </c>
      <c r="R2" s="85">
        <v>17.920000000000002</v>
      </c>
      <c r="S2" s="85">
        <f t="shared" si="0"/>
        <v>11.610000000000001</v>
      </c>
      <c r="T2" s="85">
        <f t="shared" si="0"/>
        <v>13.170000000000002</v>
      </c>
      <c r="U2" s="85">
        <v>15.48</v>
      </c>
      <c r="V2" s="72">
        <f>(K2+L2+M2+N2+O2+P2+Q2+R2+S2+T2+U2)/11</f>
        <v>15.22909090909091</v>
      </c>
      <c r="W2" s="8">
        <f>V2*1000000</f>
        <v>15229090.90909091</v>
      </c>
      <c r="X2" s="8">
        <f>W2/365</f>
        <v>41723.536737235372</v>
      </c>
    </row>
    <row r="3" spans="1:24">
      <c r="J3" s="10" t="s">
        <v>65</v>
      </c>
      <c r="K3" s="12">
        <v>0.17</v>
      </c>
      <c r="L3" s="12">
        <v>0</v>
      </c>
      <c r="M3" s="12">
        <v>0</v>
      </c>
      <c r="N3" s="12"/>
      <c r="O3" s="12"/>
      <c r="P3" s="85">
        <v>0.34</v>
      </c>
      <c r="Q3" s="85">
        <v>0.02</v>
      </c>
      <c r="R3" s="85">
        <v>0.25</v>
      </c>
      <c r="S3" s="85">
        <v>3.2</v>
      </c>
      <c r="T3" s="85">
        <v>0.66</v>
      </c>
      <c r="U3" s="85">
        <v>1.68</v>
      </c>
      <c r="W3" s="5"/>
      <c r="X3" s="5"/>
    </row>
    <row r="4" spans="1:24" s="16" customFormat="1">
      <c r="J4" s="10" t="s">
        <v>66</v>
      </c>
      <c r="K4" s="12">
        <v>4.37</v>
      </c>
      <c r="L4" s="12">
        <v>4.1500000000000004</v>
      </c>
      <c r="M4" s="12">
        <v>4.4000000000000004</v>
      </c>
      <c r="N4" s="12">
        <v>3.83</v>
      </c>
      <c r="O4" s="12">
        <v>1.78</v>
      </c>
      <c r="P4" s="85">
        <v>4.87</v>
      </c>
      <c r="Q4" s="85">
        <v>4.4400000000000004</v>
      </c>
      <c r="R4" s="85">
        <v>2.72</v>
      </c>
      <c r="S4" s="85">
        <v>3.43</v>
      </c>
      <c r="T4" s="85">
        <v>2.84</v>
      </c>
      <c r="U4" s="85">
        <v>3.11</v>
      </c>
    </row>
    <row r="5" spans="1:24" s="16" customFormat="1">
      <c r="J5" s="10" t="s">
        <v>67</v>
      </c>
      <c r="K5" s="12">
        <v>2.1800000000000002</v>
      </c>
      <c r="L5" s="12">
        <v>2.72</v>
      </c>
      <c r="M5" s="12">
        <v>1.97</v>
      </c>
      <c r="N5" s="12">
        <v>5.33</v>
      </c>
      <c r="O5" s="12">
        <v>3.18</v>
      </c>
      <c r="P5" s="85">
        <v>4.28</v>
      </c>
      <c r="Q5" s="85">
        <v>0.59</v>
      </c>
      <c r="R5" s="85">
        <v>2.06</v>
      </c>
      <c r="S5" s="85">
        <v>1.02</v>
      </c>
      <c r="T5" s="85">
        <v>2.08</v>
      </c>
      <c r="U5" s="85">
        <v>2.97</v>
      </c>
    </row>
    <row r="6" spans="1:24" s="16" customFormat="1">
      <c r="J6" s="10" t="s">
        <v>68</v>
      </c>
      <c r="K6" s="12">
        <v>1.87</v>
      </c>
      <c r="L6" s="12">
        <v>2.85</v>
      </c>
      <c r="M6" s="12">
        <v>1.89</v>
      </c>
      <c r="N6" s="12">
        <v>5.04</v>
      </c>
      <c r="O6" s="12">
        <v>4.0999999999999996</v>
      </c>
      <c r="P6" s="85">
        <v>4</v>
      </c>
      <c r="Q6" s="85">
        <v>0.79</v>
      </c>
      <c r="R6" s="85">
        <v>2.06</v>
      </c>
      <c r="S6" s="85">
        <v>2.02</v>
      </c>
      <c r="T6" s="85">
        <v>2.82</v>
      </c>
      <c r="U6" s="85">
        <v>2.65</v>
      </c>
    </row>
    <row r="7" spans="1:24" s="16" customFormat="1">
      <c r="J7" s="10" t="s">
        <v>69</v>
      </c>
      <c r="K7" s="12"/>
      <c r="L7" s="12"/>
      <c r="M7" s="12">
        <v>2.12</v>
      </c>
      <c r="N7" s="12">
        <v>4.78</v>
      </c>
      <c r="O7" s="12">
        <v>4.0999999999999996</v>
      </c>
      <c r="P7" s="85">
        <v>3.9</v>
      </c>
      <c r="Q7" s="85">
        <v>0.72</v>
      </c>
      <c r="R7" s="85">
        <v>5.55</v>
      </c>
      <c r="S7" s="85">
        <v>1.54</v>
      </c>
      <c r="T7" s="85">
        <v>2.54</v>
      </c>
      <c r="U7" s="85">
        <v>2.65</v>
      </c>
    </row>
    <row r="8" spans="1:24" s="16" customFormat="1">
      <c r="J8" s="10" t="s">
        <v>70</v>
      </c>
      <c r="K8" s="12">
        <v>1.7</v>
      </c>
      <c r="L8" s="12">
        <v>2.69</v>
      </c>
      <c r="M8" s="12">
        <v>2.08</v>
      </c>
      <c r="N8" s="12">
        <v>2.4700000000000002</v>
      </c>
      <c r="O8" s="12">
        <v>3.91</v>
      </c>
      <c r="P8" s="85">
        <v>5.04</v>
      </c>
      <c r="Q8" s="85">
        <v>0.23</v>
      </c>
      <c r="R8" s="85">
        <v>3.88</v>
      </c>
      <c r="S8" s="85">
        <v>0.4</v>
      </c>
      <c r="T8" s="85">
        <v>2.23</v>
      </c>
      <c r="U8" s="85">
        <v>2.4500000000000002</v>
      </c>
    </row>
    <row r="9" spans="1:24" s="16" customFormat="1">
      <c r="J9" s="10" t="s">
        <v>71</v>
      </c>
      <c r="K9" s="12">
        <v>2.68</v>
      </c>
      <c r="L9" s="12"/>
      <c r="M9" s="12">
        <v>2.27</v>
      </c>
      <c r="N9" s="12"/>
      <c r="O9" s="12">
        <v>1.66</v>
      </c>
      <c r="P9" s="85"/>
      <c r="Q9" s="85"/>
      <c r="R9" s="85">
        <v>1.49</v>
      </c>
      <c r="S9" s="85"/>
      <c r="T9" s="85"/>
      <c r="U9" s="85">
        <v>1.64</v>
      </c>
    </row>
    <row r="10" spans="1:24" s="14" customFormat="1">
      <c r="J10" s="83"/>
      <c r="K10" s="73"/>
      <c r="L10" s="73"/>
      <c r="M10" s="73"/>
      <c r="N10" s="73"/>
      <c r="O10" s="81" t="s">
        <v>102</v>
      </c>
      <c r="P10" s="84">
        <v>14984000</v>
      </c>
      <c r="Q10" s="86">
        <v>13460000</v>
      </c>
      <c r="R10" s="82">
        <v>14056000</v>
      </c>
      <c r="S10" s="88">
        <v>17281000</v>
      </c>
      <c r="T10" s="80">
        <v>16046000</v>
      </c>
      <c r="U10" s="79">
        <v>15782000</v>
      </c>
    </row>
    <row r="11" spans="1:24" s="16" customFormat="1"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4" s="53" customFormat="1">
      <c r="J12" s="11"/>
      <c r="K12" s="11"/>
      <c r="L12" s="11"/>
      <c r="M12" s="11"/>
      <c r="N12" s="11"/>
      <c r="O12" s="87" t="s">
        <v>101</v>
      </c>
      <c r="P12" s="130">
        <f>(P2*1000000)-P10</f>
        <v>7276000</v>
      </c>
      <c r="Q12" s="130">
        <f>(Q2*1000000)-Q10</f>
        <v>-6670000</v>
      </c>
      <c r="R12" s="130">
        <f t="shared" ref="R12:U12" si="1">(R2*1000000)-R10</f>
        <v>3864000</v>
      </c>
      <c r="S12" s="130">
        <f t="shared" si="1"/>
        <v>-5670999.9999999981</v>
      </c>
      <c r="T12" s="130">
        <f t="shared" si="1"/>
        <v>-2875999.9999999981</v>
      </c>
      <c r="U12" s="130">
        <f t="shared" si="1"/>
        <v>-302000</v>
      </c>
    </row>
    <row r="13" spans="1:24" s="53" customFormat="1"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4" s="53" customFormat="1"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4" s="53" customFormat="1">
      <c r="F15" s="98" t="s">
        <v>72</v>
      </c>
      <c r="G15" s="90">
        <v>2019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</row>
    <row r="16" spans="1:24" s="53" customFormat="1" ht="15.75" thickBot="1">
      <c r="F16" s="91" t="s">
        <v>30</v>
      </c>
      <c r="G16" s="92" t="s">
        <v>31</v>
      </c>
      <c r="H16" s="92" t="s">
        <v>32</v>
      </c>
      <c r="I16" s="92" t="s">
        <v>33</v>
      </c>
      <c r="J16" s="92" t="s">
        <v>34</v>
      </c>
      <c r="K16" s="92" t="s">
        <v>35</v>
      </c>
      <c r="L16" s="92" t="s">
        <v>36</v>
      </c>
      <c r="M16" s="92" t="s">
        <v>37</v>
      </c>
      <c r="N16" s="92" t="s">
        <v>38</v>
      </c>
      <c r="O16" s="92" t="s">
        <v>39</v>
      </c>
      <c r="P16" s="92" t="s">
        <v>40</v>
      </c>
      <c r="Q16" s="92" t="s">
        <v>41</v>
      </c>
      <c r="R16" s="92" t="s">
        <v>42</v>
      </c>
      <c r="S16" s="92" t="s">
        <v>43</v>
      </c>
      <c r="T16" s="92" t="s">
        <v>44</v>
      </c>
      <c r="U16" s="93" t="s">
        <v>100</v>
      </c>
    </row>
    <row r="17" spans="6:21" s="53" customFormat="1">
      <c r="F17" s="89"/>
      <c r="G17" s="94">
        <v>7534810685</v>
      </c>
      <c r="H17" s="102" t="s">
        <v>45</v>
      </c>
      <c r="I17" s="97">
        <v>17</v>
      </c>
      <c r="J17" s="97">
        <v>22</v>
      </c>
      <c r="K17" s="97">
        <v>21</v>
      </c>
      <c r="L17" s="97">
        <v>20</v>
      </c>
      <c r="M17" s="97">
        <v>22</v>
      </c>
      <c r="N17" s="97">
        <v>17</v>
      </c>
      <c r="O17" s="97">
        <v>15</v>
      </c>
      <c r="P17" s="97">
        <v>16</v>
      </c>
      <c r="Q17" s="97">
        <v>17</v>
      </c>
      <c r="R17" s="97">
        <v>16</v>
      </c>
      <c r="S17" s="97">
        <v>14</v>
      </c>
      <c r="T17" s="97">
        <v>13</v>
      </c>
      <c r="U17" s="100">
        <v>210</v>
      </c>
    </row>
    <row r="18" spans="6:21" s="53" customFormat="1">
      <c r="F18" s="89"/>
      <c r="G18" s="94">
        <v>4366050935</v>
      </c>
      <c r="H18" s="102" t="s">
        <v>46</v>
      </c>
      <c r="I18" s="97">
        <v>5</v>
      </c>
      <c r="J18" s="97">
        <v>24</v>
      </c>
      <c r="K18" s="97">
        <v>20</v>
      </c>
      <c r="L18" s="97">
        <v>28</v>
      </c>
      <c r="M18" s="97">
        <v>19</v>
      </c>
      <c r="N18" s="97">
        <v>3</v>
      </c>
      <c r="O18" s="97">
        <v>9</v>
      </c>
      <c r="P18" s="97">
        <v>28</v>
      </c>
      <c r="Q18" s="97">
        <v>22</v>
      </c>
      <c r="R18" s="97">
        <v>26</v>
      </c>
      <c r="S18" s="97">
        <v>25</v>
      </c>
      <c r="T18" s="97">
        <v>20</v>
      </c>
      <c r="U18" s="100">
        <v>229</v>
      </c>
    </row>
    <row r="19" spans="6:21" s="53" customFormat="1">
      <c r="F19" s="89"/>
      <c r="G19" s="94">
        <v>6366050937</v>
      </c>
      <c r="H19" s="102" t="s">
        <v>47</v>
      </c>
      <c r="I19" s="97">
        <v>8</v>
      </c>
      <c r="J19" s="97">
        <v>32</v>
      </c>
      <c r="K19" s="97">
        <v>26</v>
      </c>
      <c r="L19" s="97">
        <v>35</v>
      </c>
      <c r="M19" s="97">
        <v>28</v>
      </c>
      <c r="N19" s="97">
        <v>6</v>
      </c>
      <c r="O19" s="97">
        <v>5</v>
      </c>
      <c r="P19" s="97">
        <v>2</v>
      </c>
      <c r="Q19" s="97">
        <v>28</v>
      </c>
      <c r="R19" s="97">
        <v>48</v>
      </c>
      <c r="S19" s="97">
        <v>36</v>
      </c>
      <c r="T19" s="97">
        <v>30</v>
      </c>
      <c r="U19" s="100">
        <v>284</v>
      </c>
    </row>
    <row r="20" spans="6:21" s="53" customFormat="1">
      <c r="F20" s="89"/>
      <c r="G20" s="94">
        <v>7366050938</v>
      </c>
      <c r="H20" s="102" t="s">
        <v>48</v>
      </c>
      <c r="I20" s="97">
        <v>27</v>
      </c>
      <c r="J20" s="97">
        <v>46</v>
      </c>
      <c r="K20" s="97">
        <v>56</v>
      </c>
      <c r="L20" s="97">
        <v>45</v>
      </c>
      <c r="M20" s="97">
        <v>42</v>
      </c>
      <c r="N20" s="97">
        <v>45</v>
      </c>
      <c r="O20" s="97">
        <v>35</v>
      </c>
      <c r="P20" s="97">
        <v>38</v>
      </c>
      <c r="Q20" s="97">
        <v>41</v>
      </c>
      <c r="R20" s="97">
        <v>48</v>
      </c>
      <c r="S20" s="97">
        <v>46</v>
      </c>
      <c r="T20" s="97">
        <v>40</v>
      </c>
      <c r="U20" s="100">
        <v>509</v>
      </c>
    </row>
    <row r="21" spans="6:21" s="53" customFormat="1">
      <c r="F21" s="89"/>
      <c r="G21" s="94">
        <v>3366050934</v>
      </c>
      <c r="H21" s="102" t="s">
        <v>49</v>
      </c>
      <c r="I21" s="97">
        <v>379</v>
      </c>
      <c r="J21" s="97">
        <v>315</v>
      </c>
      <c r="K21" s="97">
        <v>301</v>
      </c>
      <c r="L21" s="97">
        <v>308</v>
      </c>
      <c r="M21" s="97">
        <v>316</v>
      </c>
      <c r="N21" s="97">
        <v>205</v>
      </c>
      <c r="O21" s="97">
        <v>77</v>
      </c>
      <c r="P21" s="97">
        <v>81</v>
      </c>
      <c r="Q21" s="97">
        <v>240</v>
      </c>
      <c r="R21" s="97">
        <v>279</v>
      </c>
      <c r="S21" s="97">
        <v>254</v>
      </c>
      <c r="T21" s="97">
        <v>161</v>
      </c>
      <c r="U21" s="100">
        <v>2916</v>
      </c>
    </row>
    <row r="22" spans="6:21" s="53" customFormat="1">
      <c r="F22" s="89"/>
      <c r="G22" s="94">
        <v>5581150299</v>
      </c>
      <c r="H22" s="102" t="s">
        <v>50</v>
      </c>
      <c r="I22" s="97">
        <v>37</v>
      </c>
      <c r="J22" s="97">
        <v>142</v>
      </c>
      <c r="K22" s="97">
        <v>143</v>
      </c>
      <c r="L22" s="97">
        <v>146</v>
      </c>
      <c r="M22" s="97">
        <v>137</v>
      </c>
      <c r="N22" s="97">
        <v>59</v>
      </c>
      <c r="O22" s="97">
        <v>115</v>
      </c>
      <c r="P22" s="97">
        <v>248</v>
      </c>
      <c r="Q22" s="97">
        <v>274</v>
      </c>
      <c r="R22" s="97">
        <v>197</v>
      </c>
      <c r="S22" s="97">
        <v>102</v>
      </c>
      <c r="T22" s="97">
        <v>89</v>
      </c>
      <c r="U22" s="100">
        <v>1689</v>
      </c>
    </row>
    <row r="23" spans="6:21" s="53" customFormat="1">
      <c r="F23" s="89"/>
      <c r="G23" s="94">
        <v>5366050936</v>
      </c>
      <c r="H23" s="102" t="s">
        <v>51</v>
      </c>
      <c r="I23" s="97">
        <v>11</v>
      </c>
      <c r="J23" s="97">
        <v>34</v>
      </c>
      <c r="K23" s="97">
        <v>38</v>
      </c>
      <c r="L23" s="97">
        <v>37</v>
      </c>
      <c r="M23" s="97">
        <v>35</v>
      </c>
      <c r="N23" s="97">
        <v>9</v>
      </c>
      <c r="O23" s="97">
        <v>10</v>
      </c>
      <c r="P23" s="97">
        <v>1</v>
      </c>
      <c r="Q23" s="97">
        <v>18</v>
      </c>
      <c r="R23" s="97">
        <v>27</v>
      </c>
      <c r="S23" s="97">
        <v>28</v>
      </c>
      <c r="T23" s="97">
        <v>24</v>
      </c>
      <c r="U23" s="100">
        <v>272</v>
      </c>
    </row>
    <row r="24" spans="6:21" s="53" customFormat="1">
      <c r="F24" s="89"/>
      <c r="G24" s="94">
        <v>2052150585</v>
      </c>
      <c r="H24" s="102" t="s">
        <v>52</v>
      </c>
      <c r="I24" s="97">
        <v>374</v>
      </c>
      <c r="J24" s="97">
        <v>554</v>
      </c>
      <c r="K24" s="97">
        <v>509</v>
      </c>
      <c r="L24" s="97">
        <v>504</v>
      </c>
      <c r="M24" s="97">
        <v>360</v>
      </c>
      <c r="N24" s="97">
        <v>187</v>
      </c>
      <c r="O24" s="97">
        <v>250</v>
      </c>
      <c r="P24" s="97">
        <v>337</v>
      </c>
      <c r="Q24" s="97">
        <v>421</v>
      </c>
      <c r="R24" s="97">
        <v>452</v>
      </c>
      <c r="S24" s="97">
        <v>240</v>
      </c>
      <c r="T24" s="97">
        <v>218</v>
      </c>
      <c r="U24" s="100">
        <v>4406</v>
      </c>
    </row>
    <row r="25" spans="6:21" s="53" customFormat="1">
      <c r="F25" s="89"/>
      <c r="G25" s="94">
        <v>8635150066</v>
      </c>
      <c r="H25" s="102" t="s">
        <v>53</v>
      </c>
      <c r="I25" s="97">
        <v>1</v>
      </c>
      <c r="J25" s="97">
        <v>6</v>
      </c>
      <c r="K25" s="97">
        <v>6</v>
      </c>
      <c r="L25" s="97">
        <v>5</v>
      </c>
      <c r="M25" s="97">
        <v>4</v>
      </c>
      <c r="N25" s="97">
        <v>3</v>
      </c>
      <c r="O25" s="97">
        <v>3</v>
      </c>
      <c r="P25" s="97">
        <v>3</v>
      </c>
      <c r="Q25" s="97">
        <v>4</v>
      </c>
      <c r="R25" s="97">
        <v>5</v>
      </c>
      <c r="S25" s="97">
        <v>4</v>
      </c>
      <c r="T25" s="97">
        <v>3</v>
      </c>
      <c r="U25" s="100">
        <v>47</v>
      </c>
    </row>
    <row r="26" spans="6:21" s="53" customFormat="1">
      <c r="F26" s="89"/>
      <c r="G26" s="95">
        <v>6663150208</v>
      </c>
      <c r="H26" s="102" t="s">
        <v>54</v>
      </c>
      <c r="I26" s="97">
        <v>20</v>
      </c>
      <c r="J26" s="97">
        <v>47</v>
      </c>
      <c r="K26" s="97">
        <v>36</v>
      </c>
      <c r="L26" s="97">
        <v>40</v>
      </c>
      <c r="M26" s="97">
        <v>40</v>
      </c>
      <c r="N26" s="97">
        <v>21</v>
      </c>
      <c r="O26" s="97">
        <v>19</v>
      </c>
      <c r="P26" s="97">
        <v>18</v>
      </c>
      <c r="Q26" s="97">
        <v>21</v>
      </c>
      <c r="R26" s="97">
        <v>35</v>
      </c>
      <c r="S26" s="97">
        <v>39</v>
      </c>
      <c r="T26" s="97">
        <v>34</v>
      </c>
      <c r="U26" s="100">
        <v>370</v>
      </c>
    </row>
    <row r="27" spans="6:21" s="53" customFormat="1">
      <c r="F27" s="89"/>
      <c r="G27" s="94">
        <v>6068150813</v>
      </c>
      <c r="H27" s="102" t="s">
        <v>55</v>
      </c>
      <c r="I27" s="97">
        <v>6</v>
      </c>
      <c r="J27" s="97">
        <v>28</v>
      </c>
      <c r="K27" s="97">
        <v>24</v>
      </c>
      <c r="L27" s="97">
        <v>29</v>
      </c>
      <c r="M27" s="97">
        <v>72</v>
      </c>
      <c r="N27" s="97">
        <v>145</v>
      </c>
      <c r="O27" s="97">
        <v>183</v>
      </c>
      <c r="P27" s="97">
        <v>228</v>
      </c>
      <c r="Q27" s="97">
        <v>188</v>
      </c>
      <c r="R27" s="97">
        <v>174</v>
      </c>
      <c r="S27" s="97">
        <v>56</v>
      </c>
      <c r="T27" s="97">
        <v>23</v>
      </c>
      <c r="U27" s="100">
        <v>1156</v>
      </c>
    </row>
    <row r="28" spans="6:21" s="53" customFormat="1">
      <c r="F28" s="89"/>
      <c r="G28" s="95">
        <v>5068150812</v>
      </c>
      <c r="H28" s="102" t="s">
        <v>56</v>
      </c>
      <c r="I28" s="97">
        <v>7</v>
      </c>
      <c r="J28" s="97">
        <v>18</v>
      </c>
      <c r="K28" s="97">
        <v>16</v>
      </c>
      <c r="L28" s="97">
        <v>22</v>
      </c>
      <c r="M28" s="97">
        <v>14</v>
      </c>
      <c r="N28" s="97">
        <v>9</v>
      </c>
      <c r="O28" s="97">
        <v>9</v>
      </c>
      <c r="P28" s="97">
        <v>31</v>
      </c>
      <c r="Q28" s="97">
        <v>30</v>
      </c>
      <c r="R28" s="97">
        <v>28</v>
      </c>
      <c r="S28" s="97">
        <v>19</v>
      </c>
      <c r="T28" s="97">
        <v>13</v>
      </c>
      <c r="U28" s="100">
        <v>216</v>
      </c>
    </row>
    <row r="29" spans="6:21" s="53" customFormat="1">
      <c r="F29" s="89"/>
      <c r="G29" s="95">
        <v>2364150700</v>
      </c>
      <c r="H29" s="102" t="s">
        <v>57</v>
      </c>
      <c r="I29" s="97">
        <v>43</v>
      </c>
      <c r="J29" s="97">
        <v>77</v>
      </c>
      <c r="K29" s="97">
        <v>52</v>
      </c>
      <c r="L29" s="97">
        <v>47</v>
      </c>
      <c r="M29" s="97">
        <v>53</v>
      </c>
      <c r="N29" s="97">
        <v>36</v>
      </c>
      <c r="O29" s="97">
        <v>33</v>
      </c>
      <c r="P29" s="97">
        <v>47</v>
      </c>
      <c r="Q29" s="97">
        <v>57</v>
      </c>
      <c r="R29" s="97">
        <v>73</v>
      </c>
      <c r="S29" s="97">
        <v>54</v>
      </c>
      <c r="T29" s="97">
        <v>51</v>
      </c>
      <c r="U29" s="100">
        <v>623</v>
      </c>
    </row>
    <row r="30" spans="6:21" s="53" customFormat="1">
      <c r="F30" s="89"/>
      <c r="G30" s="95">
        <v>1364150699</v>
      </c>
      <c r="H30" s="102" t="s">
        <v>58</v>
      </c>
      <c r="I30" s="97">
        <v>30</v>
      </c>
      <c r="J30" s="97">
        <v>117</v>
      </c>
      <c r="K30" s="97">
        <v>103</v>
      </c>
      <c r="L30" s="97">
        <v>125</v>
      </c>
      <c r="M30" s="97">
        <v>113</v>
      </c>
      <c r="N30" s="97">
        <v>85</v>
      </c>
      <c r="O30" s="97">
        <v>118</v>
      </c>
      <c r="P30" s="97">
        <v>143</v>
      </c>
      <c r="Q30" s="97">
        <v>158</v>
      </c>
      <c r="R30" s="97">
        <v>184</v>
      </c>
      <c r="S30" s="97">
        <v>123</v>
      </c>
      <c r="T30" s="97">
        <v>101</v>
      </c>
      <c r="U30" s="100">
        <v>1400</v>
      </c>
    </row>
    <row r="31" spans="6:21" s="53" customFormat="1">
      <c r="F31" s="89"/>
      <c r="G31" s="94">
        <v>2068150809</v>
      </c>
      <c r="H31" s="102">
        <v>429985</v>
      </c>
      <c r="I31" s="97">
        <v>0</v>
      </c>
      <c r="J31" s="97">
        <v>2</v>
      </c>
      <c r="K31" s="97">
        <v>1</v>
      </c>
      <c r="L31" s="97">
        <v>1</v>
      </c>
      <c r="M31" s="97">
        <v>1</v>
      </c>
      <c r="N31" s="97">
        <v>1</v>
      </c>
      <c r="O31" s="97">
        <v>1</v>
      </c>
      <c r="P31" s="97">
        <v>1</v>
      </c>
      <c r="Q31" s="97">
        <v>1</v>
      </c>
      <c r="R31" s="97">
        <v>2</v>
      </c>
      <c r="S31" s="97">
        <v>1</v>
      </c>
      <c r="T31" s="97">
        <v>1</v>
      </c>
      <c r="U31" s="100">
        <v>13</v>
      </c>
    </row>
    <row r="32" spans="6:21" s="53" customFormat="1">
      <c r="F32" s="89"/>
      <c r="G32" s="94">
        <v>5756250297</v>
      </c>
      <c r="H32" s="101" t="s">
        <v>60</v>
      </c>
      <c r="I32" s="97">
        <v>6</v>
      </c>
      <c r="J32" s="97">
        <v>9</v>
      </c>
      <c r="K32" s="97">
        <v>15</v>
      </c>
      <c r="L32" s="97">
        <v>18</v>
      </c>
      <c r="M32" s="97">
        <v>22</v>
      </c>
      <c r="N32" s="97">
        <v>18</v>
      </c>
      <c r="O32" s="97">
        <v>21</v>
      </c>
      <c r="P32" s="97">
        <v>19</v>
      </c>
      <c r="Q32" s="97">
        <v>23</v>
      </c>
      <c r="R32" s="97">
        <v>26</v>
      </c>
      <c r="S32" s="97">
        <v>33</v>
      </c>
      <c r="T32" s="97">
        <v>15</v>
      </c>
      <c r="U32" s="100">
        <v>225</v>
      </c>
    </row>
    <row r="33" spans="6:21" s="53" customFormat="1">
      <c r="F33" s="89"/>
      <c r="G33" s="95">
        <v>3054467971</v>
      </c>
      <c r="H33" s="101" t="s">
        <v>62</v>
      </c>
      <c r="I33" s="97">
        <v>22</v>
      </c>
      <c r="J33" s="97">
        <v>39</v>
      </c>
      <c r="K33" s="97">
        <v>38</v>
      </c>
      <c r="L33" s="97">
        <v>43</v>
      </c>
      <c r="M33" s="97">
        <v>41</v>
      </c>
      <c r="N33" s="97">
        <v>29</v>
      </c>
      <c r="O33" s="97">
        <v>33</v>
      </c>
      <c r="P33" s="97">
        <v>29</v>
      </c>
      <c r="Q33" s="97">
        <v>32</v>
      </c>
      <c r="R33" s="97">
        <v>41</v>
      </c>
      <c r="S33" s="97">
        <v>39</v>
      </c>
      <c r="T33" s="97">
        <v>33</v>
      </c>
      <c r="U33" s="100">
        <v>419</v>
      </c>
    </row>
    <row r="34" spans="6:21" s="53" customFormat="1">
      <c r="F34" s="89"/>
      <c r="G34" s="89"/>
      <c r="H34" s="89"/>
      <c r="I34" s="99">
        <v>993</v>
      </c>
      <c r="J34" s="99">
        <v>1512</v>
      </c>
      <c r="K34" s="99">
        <v>1405</v>
      </c>
      <c r="L34" s="99">
        <v>1453</v>
      </c>
      <c r="M34" s="99">
        <v>1319</v>
      </c>
      <c r="N34" s="99">
        <v>878</v>
      </c>
      <c r="O34" s="99">
        <v>936</v>
      </c>
      <c r="P34" s="99">
        <v>1270</v>
      </c>
      <c r="Q34" s="99">
        <v>1575</v>
      </c>
      <c r="R34" s="99">
        <v>1661</v>
      </c>
      <c r="S34" s="99">
        <v>1113</v>
      </c>
      <c r="T34" s="99">
        <v>869</v>
      </c>
      <c r="U34" s="97">
        <v>14984</v>
      </c>
    </row>
    <row r="35" spans="6:21" s="53" customFormat="1"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6:21" s="53" customFormat="1">
      <c r="F36" s="89"/>
      <c r="G36" s="89"/>
      <c r="H36" s="96" t="s">
        <v>64</v>
      </c>
      <c r="I36" s="97">
        <v>993000</v>
      </c>
      <c r="J36" s="97">
        <v>1512000</v>
      </c>
      <c r="K36" s="97">
        <v>1405000</v>
      </c>
      <c r="L36" s="97">
        <v>1453000</v>
      </c>
      <c r="M36" s="97">
        <v>1319000</v>
      </c>
      <c r="N36" s="97">
        <v>878000</v>
      </c>
      <c r="O36" s="97">
        <v>936000</v>
      </c>
      <c r="P36" s="97">
        <v>1270000</v>
      </c>
      <c r="Q36" s="97">
        <v>1575000</v>
      </c>
      <c r="R36" s="97">
        <v>1661000</v>
      </c>
      <c r="S36" s="97">
        <v>1113000</v>
      </c>
      <c r="T36" s="97">
        <v>869000</v>
      </c>
      <c r="U36" s="97">
        <v>14984000</v>
      </c>
    </row>
    <row r="37" spans="6:21" s="53" customFormat="1"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6:21" s="53" customFormat="1">
      <c r="F38" s="75"/>
      <c r="G38" s="75"/>
      <c r="H38" s="75"/>
      <c r="I38" s="75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5"/>
    </row>
    <row r="39" spans="6:21" s="53" customFormat="1">
      <c r="F39" s="112" t="s">
        <v>72</v>
      </c>
      <c r="G39" s="104">
        <v>2020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</row>
    <row r="40" spans="6:21" s="53" customFormat="1" ht="15.75" thickBot="1">
      <c r="F40" s="105" t="s">
        <v>30</v>
      </c>
      <c r="G40" s="106" t="s">
        <v>31</v>
      </c>
      <c r="H40" s="106" t="s">
        <v>32</v>
      </c>
      <c r="I40" s="106" t="s">
        <v>33</v>
      </c>
      <c r="J40" s="106" t="s">
        <v>34</v>
      </c>
      <c r="K40" s="106" t="s">
        <v>35</v>
      </c>
      <c r="L40" s="106" t="s">
        <v>36</v>
      </c>
      <c r="M40" s="106" t="s">
        <v>37</v>
      </c>
      <c r="N40" s="106" t="s">
        <v>38</v>
      </c>
      <c r="O40" s="106" t="s">
        <v>39</v>
      </c>
      <c r="P40" s="106" t="s">
        <v>40</v>
      </c>
      <c r="Q40" s="106" t="s">
        <v>41</v>
      </c>
      <c r="R40" s="106" t="s">
        <v>42</v>
      </c>
      <c r="S40" s="106" t="s">
        <v>43</v>
      </c>
      <c r="T40" s="106" t="s">
        <v>44</v>
      </c>
      <c r="U40" s="107" t="s">
        <v>100</v>
      </c>
    </row>
    <row r="41" spans="6:21" s="53" customFormat="1">
      <c r="F41" s="103"/>
      <c r="G41" s="108">
        <v>7534810685</v>
      </c>
      <c r="H41" s="116" t="s">
        <v>45</v>
      </c>
      <c r="I41" s="111">
        <v>10</v>
      </c>
      <c r="J41" s="111">
        <v>15</v>
      </c>
      <c r="K41" s="111">
        <v>15</v>
      </c>
      <c r="L41" s="111">
        <v>16</v>
      </c>
      <c r="M41" s="111">
        <v>18</v>
      </c>
      <c r="N41" s="111">
        <v>14</v>
      </c>
      <c r="O41" s="111">
        <v>12</v>
      </c>
      <c r="P41" s="111">
        <v>12</v>
      </c>
      <c r="Q41" s="111">
        <v>13</v>
      </c>
      <c r="R41" s="111">
        <v>12</v>
      </c>
      <c r="S41" s="111">
        <v>13</v>
      </c>
      <c r="T41" s="111">
        <v>13</v>
      </c>
      <c r="U41" s="114">
        <v>163</v>
      </c>
    </row>
    <row r="42" spans="6:21" s="53" customFormat="1">
      <c r="F42" s="103"/>
      <c r="G42" s="108">
        <v>4366050935</v>
      </c>
      <c r="H42" s="116" t="s">
        <v>46</v>
      </c>
      <c r="I42" s="111">
        <v>3</v>
      </c>
      <c r="J42" s="111">
        <v>22</v>
      </c>
      <c r="K42" s="111">
        <v>19</v>
      </c>
      <c r="L42" s="111">
        <v>13</v>
      </c>
      <c r="M42" s="111">
        <v>8</v>
      </c>
      <c r="N42" s="111">
        <v>1</v>
      </c>
      <c r="O42" s="111">
        <v>0</v>
      </c>
      <c r="P42" s="111">
        <v>0</v>
      </c>
      <c r="Q42" s="111">
        <v>26</v>
      </c>
      <c r="R42" s="111">
        <v>20</v>
      </c>
      <c r="S42" s="111">
        <v>25</v>
      </c>
      <c r="T42" s="111">
        <v>13</v>
      </c>
      <c r="U42" s="114">
        <v>150</v>
      </c>
    </row>
    <row r="43" spans="6:21" s="53" customFormat="1">
      <c r="F43" s="103"/>
      <c r="G43" s="108">
        <v>6366050937</v>
      </c>
      <c r="H43" s="116" t="s">
        <v>47</v>
      </c>
      <c r="I43" s="111">
        <v>5</v>
      </c>
      <c r="J43" s="111">
        <v>37</v>
      </c>
      <c r="K43" s="111">
        <v>27</v>
      </c>
      <c r="L43" s="111">
        <v>22</v>
      </c>
      <c r="M43" s="111">
        <v>12</v>
      </c>
      <c r="N43" s="111">
        <v>7</v>
      </c>
      <c r="O43" s="111">
        <v>8</v>
      </c>
      <c r="P43" s="111">
        <v>7</v>
      </c>
      <c r="Q43" s="111">
        <v>26</v>
      </c>
      <c r="R43" s="111">
        <v>27</v>
      </c>
      <c r="S43" s="111">
        <v>35</v>
      </c>
      <c r="T43" s="111">
        <v>20</v>
      </c>
      <c r="U43" s="114">
        <v>233</v>
      </c>
    </row>
    <row r="44" spans="6:21" s="53" customFormat="1">
      <c r="F44" s="103"/>
      <c r="G44" s="108">
        <v>7366050938</v>
      </c>
      <c r="H44" s="116" t="s">
        <v>48</v>
      </c>
      <c r="I44" s="111">
        <v>24</v>
      </c>
      <c r="J44" s="111">
        <v>46</v>
      </c>
      <c r="K44" s="111">
        <v>42</v>
      </c>
      <c r="L44" s="111">
        <v>15</v>
      </c>
      <c r="M44" s="111">
        <v>4</v>
      </c>
      <c r="N44" s="111">
        <v>10</v>
      </c>
      <c r="O44" s="111">
        <v>29</v>
      </c>
      <c r="P44" s="111">
        <v>42</v>
      </c>
      <c r="Q44" s="111">
        <v>46</v>
      </c>
      <c r="R44" s="111">
        <v>33</v>
      </c>
      <c r="S44" s="111">
        <v>18</v>
      </c>
      <c r="T44" s="111">
        <v>12</v>
      </c>
      <c r="U44" s="114">
        <v>321</v>
      </c>
    </row>
    <row r="45" spans="6:21" s="53" customFormat="1">
      <c r="F45" s="103"/>
      <c r="G45" s="108">
        <v>3366050934</v>
      </c>
      <c r="H45" s="116" t="s">
        <v>49</v>
      </c>
      <c r="I45" s="111">
        <v>28</v>
      </c>
      <c r="J45" s="111">
        <v>178</v>
      </c>
      <c r="K45" s="111">
        <v>159</v>
      </c>
      <c r="L45" s="111">
        <v>93</v>
      </c>
      <c r="M45" s="111">
        <v>48</v>
      </c>
      <c r="N45" s="111">
        <v>13</v>
      </c>
      <c r="O45" s="111">
        <v>10</v>
      </c>
      <c r="P45" s="111">
        <v>20</v>
      </c>
      <c r="Q45" s="111">
        <v>137</v>
      </c>
      <c r="R45" s="111">
        <v>130</v>
      </c>
      <c r="S45" s="111">
        <v>140</v>
      </c>
      <c r="T45" s="111">
        <v>98</v>
      </c>
      <c r="U45" s="114">
        <v>1054</v>
      </c>
    </row>
    <row r="46" spans="6:21" s="53" customFormat="1">
      <c r="F46" s="103"/>
      <c r="G46" s="108">
        <v>5581150299</v>
      </c>
      <c r="H46" s="116" t="s">
        <v>50</v>
      </c>
      <c r="I46" s="111">
        <v>20</v>
      </c>
      <c r="J46" s="111">
        <v>89</v>
      </c>
      <c r="K46" s="111">
        <v>75</v>
      </c>
      <c r="L46" s="111">
        <v>51</v>
      </c>
      <c r="M46" s="111">
        <v>115</v>
      </c>
      <c r="N46" s="111">
        <v>175</v>
      </c>
      <c r="O46" s="111">
        <v>11</v>
      </c>
      <c r="P46" s="111">
        <v>30</v>
      </c>
      <c r="Q46" s="111">
        <v>188</v>
      </c>
      <c r="R46" s="111">
        <v>232</v>
      </c>
      <c r="S46" s="111">
        <v>225</v>
      </c>
      <c r="T46" s="111">
        <v>87</v>
      </c>
      <c r="U46" s="114">
        <v>1298</v>
      </c>
    </row>
    <row r="47" spans="6:21" s="53" customFormat="1">
      <c r="F47" s="103"/>
      <c r="G47" s="108">
        <v>5366050936</v>
      </c>
      <c r="H47" s="116" t="s">
        <v>51</v>
      </c>
      <c r="I47" s="111">
        <v>7</v>
      </c>
      <c r="J47" s="111">
        <v>25</v>
      </c>
      <c r="K47" s="111">
        <v>20</v>
      </c>
      <c r="L47" s="111">
        <v>12</v>
      </c>
      <c r="M47" s="111">
        <v>15</v>
      </c>
      <c r="N47" s="111">
        <v>8</v>
      </c>
      <c r="O47" s="111">
        <v>5</v>
      </c>
      <c r="P47" s="111">
        <v>2</v>
      </c>
      <c r="Q47" s="111">
        <v>22</v>
      </c>
      <c r="R47" s="111">
        <v>26</v>
      </c>
      <c r="S47" s="111">
        <v>40</v>
      </c>
      <c r="T47" s="111">
        <v>12</v>
      </c>
      <c r="U47" s="114">
        <v>194</v>
      </c>
    </row>
    <row r="48" spans="6:21" s="53" customFormat="1">
      <c r="F48" s="103"/>
      <c r="G48" s="108">
        <v>2052150585</v>
      </c>
      <c r="H48" s="116" t="s">
        <v>52</v>
      </c>
      <c r="I48" s="111">
        <v>53</v>
      </c>
      <c r="J48" s="111">
        <v>245</v>
      </c>
      <c r="K48" s="111">
        <v>190</v>
      </c>
      <c r="L48" s="111">
        <v>115</v>
      </c>
      <c r="M48" s="111">
        <v>188</v>
      </c>
      <c r="N48" s="111">
        <v>227</v>
      </c>
      <c r="O48" s="111">
        <v>461</v>
      </c>
      <c r="P48" s="111">
        <v>347</v>
      </c>
      <c r="Q48" s="111">
        <v>477</v>
      </c>
      <c r="R48" s="111">
        <v>374</v>
      </c>
      <c r="S48" s="111">
        <v>269</v>
      </c>
      <c r="T48" s="111">
        <v>97</v>
      </c>
      <c r="U48" s="114">
        <v>3043</v>
      </c>
    </row>
    <row r="49" spans="6:21" s="53" customFormat="1">
      <c r="F49" s="103"/>
      <c r="G49" s="108">
        <v>8635150066</v>
      </c>
      <c r="H49" s="116" t="s">
        <v>53</v>
      </c>
      <c r="I49" s="111">
        <v>0</v>
      </c>
      <c r="J49" s="111">
        <v>9</v>
      </c>
      <c r="K49" s="111">
        <v>4</v>
      </c>
      <c r="L49" s="111">
        <v>1</v>
      </c>
      <c r="M49" s="111">
        <v>0</v>
      </c>
      <c r="N49" s="111">
        <v>0</v>
      </c>
      <c r="O49" s="111">
        <v>1</v>
      </c>
      <c r="P49" s="111">
        <v>1</v>
      </c>
      <c r="Q49" s="111">
        <v>4</v>
      </c>
      <c r="R49" s="111">
        <v>5</v>
      </c>
      <c r="S49" s="111">
        <v>5</v>
      </c>
      <c r="T49" s="111">
        <v>4</v>
      </c>
      <c r="U49" s="114">
        <v>34</v>
      </c>
    </row>
    <row r="50" spans="6:21" s="53" customFormat="1">
      <c r="F50" s="103"/>
      <c r="G50" s="109">
        <v>6663150208</v>
      </c>
      <c r="H50" s="116" t="s">
        <v>54</v>
      </c>
      <c r="I50" s="111">
        <v>16</v>
      </c>
      <c r="J50" s="111">
        <v>35</v>
      </c>
      <c r="K50" s="111">
        <v>31</v>
      </c>
      <c r="L50" s="111">
        <v>10</v>
      </c>
      <c r="M50" s="111">
        <v>3</v>
      </c>
      <c r="N50" s="111">
        <v>4</v>
      </c>
      <c r="O50" s="111">
        <v>9</v>
      </c>
      <c r="P50" s="111">
        <v>11</v>
      </c>
      <c r="Q50" s="111">
        <v>16</v>
      </c>
      <c r="R50" s="111">
        <v>12</v>
      </c>
      <c r="S50" s="111">
        <v>13</v>
      </c>
      <c r="T50" s="111">
        <v>8</v>
      </c>
      <c r="U50" s="114">
        <v>168</v>
      </c>
    </row>
    <row r="51" spans="6:21" s="53" customFormat="1">
      <c r="F51" s="103"/>
      <c r="G51" s="108">
        <v>6068150813</v>
      </c>
      <c r="H51" s="116" t="s">
        <v>55</v>
      </c>
      <c r="I51" s="111">
        <v>5</v>
      </c>
      <c r="J51" s="111">
        <v>30</v>
      </c>
      <c r="K51" s="111">
        <v>25</v>
      </c>
      <c r="L51" s="111">
        <v>7</v>
      </c>
      <c r="M51" s="111">
        <v>1</v>
      </c>
      <c r="N51" s="111">
        <v>3</v>
      </c>
      <c r="O51" s="111">
        <v>434</v>
      </c>
      <c r="P51" s="111">
        <v>220</v>
      </c>
      <c r="Q51" s="111">
        <v>195</v>
      </c>
      <c r="R51" s="111">
        <v>115</v>
      </c>
      <c r="S51" s="111">
        <v>56</v>
      </c>
      <c r="T51" s="111">
        <v>3</v>
      </c>
      <c r="U51" s="114">
        <v>1094</v>
      </c>
    </row>
    <row r="52" spans="6:21" s="53" customFormat="1">
      <c r="F52" s="103"/>
      <c r="G52" s="109">
        <v>5068150812</v>
      </c>
      <c r="H52" s="116" t="s">
        <v>56</v>
      </c>
      <c r="I52" s="111">
        <v>5</v>
      </c>
      <c r="J52" s="111">
        <v>17</v>
      </c>
      <c r="K52" s="111">
        <v>15</v>
      </c>
      <c r="L52" s="111">
        <v>4</v>
      </c>
      <c r="M52" s="111">
        <v>3</v>
      </c>
      <c r="N52" s="111">
        <v>4</v>
      </c>
      <c r="O52" s="111">
        <v>40</v>
      </c>
      <c r="P52" s="111">
        <v>16</v>
      </c>
      <c r="Q52" s="111">
        <v>23</v>
      </c>
      <c r="R52" s="111">
        <v>21</v>
      </c>
      <c r="S52" s="111">
        <v>127</v>
      </c>
      <c r="T52" s="111">
        <v>3</v>
      </c>
      <c r="U52" s="114">
        <v>278</v>
      </c>
    </row>
    <row r="53" spans="6:21" s="53" customFormat="1">
      <c r="F53" s="103"/>
      <c r="G53" s="109">
        <v>2364150700</v>
      </c>
      <c r="H53" s="116" t="s">
        <v>57</v>
      </c>
      <c r="I53" s="111">
        <v>32</v>
      </c>
      <c r="J53" s="111">
        <v>69</v>
      </c>
      <c r="K53" s="111">
        <v>78</v>
      </c>
      <c r="L53" s="111">
        <v>10</v>
      </c>
      <c r="M53" s="111">
        <v>8</v>
      </c>
      <c r="N53" s="111">
        <v>12</v>
      </c>
      <c r="O53" s="111">
        <v>16</v>
      </c>
      <c r="P53" s="111">
        <v>14</v>
      </c>
      <c r="Q53" s="111">
        <v>17</v>
      </c>
      <c r="R53" s="111">
        <v>13</v>
      </c>
      <c r="S53" s="111">
        <v>36</v>
      </c>
      <c r="T53" s="111">
        <v>31</v>
      </c>
      <c r="U53" s="114">
        <v>336</v>
      </c>
    </row>
    <row r="54" spans="6:21" s="53" customFormat="1">
      <c r="F54" s="103"/>
      <c r="G54" s="109">
        <v>1364150699</v>
      </c>
      <c r="H54" s="116" t="s">
        <v>58</v>
      </c>
      <c r="I54" s="111">
        <v>20</v>
      </c>
      <c r="J54" s="111">
        <v>119</v>
      </c>
      <c r="K54" s="111">
        <v>97</v>
      </c>
      <c r="L54" s="111">
        <v>36</v>
      </c>
      <c r="M54" s="111">
        <v>1</v>
      </c>
      <c r="N54" s="111">
        <v>6</v>
      </c>
      <c r="O54" s="111">
        <v>145</v>
      </c>
      <c r="P54" s="111">
        <v>107</v>
      </c>
      <c r="Q54" s="111">
        <v>133</v>
      </c>
      <c r="R54" s="111">
        <v>95</v>
      </c>
      <c r="S54" s="111">
        <v>67</v>
      </c>
      <c r="T54" s="111">
        <v>15</v>
      </c>
      <c r="U54" s="114">
        <v>841</v>
      </c>
    </row>
    <row r="55" spans="6:21" s="53" customFormat="1">
      <c r="F55" s="103"/>
      <c r="G55" s="108">
        <v>2068150809</v>
      </c>
      <c r="H55" s="116" t="s">
        <v>59</v>
      </c>
      <c r="I55" s="111">
        <v>0</v>
      </c>
      <c r="J55" s="111">
        <v>1</v>
      </c>
      <c r="K55" s="111">
        <v>1</v>
      </c>
      <c r="L55" s="111">
        <v>1</v>
      </c>
      <c r="M55" s="111">
        <v>0</v>
      </c>
      <c r="N55" s="111">
        <v>0</v>
      </c>
      <c r="O55" s="111">
        <v>0</v>
      </c>
      <c r="P55" s="111">
        <v>0</v>
      </c>
      <c r="Q55" s="111">
        <v>1</v>
      </c>
      <c r="R55" s="111">
        <v>0</v>
      </c>
      <c r="S55" s="111">
        <v>1</v>
      </c>
      <c r="T55" s="111">
        <v>1</v>
      </c>
      <c r="U55" s="114">
        <v>6</v>
      </c>
    </row>
    <row r="56" spans="6:21" s="53" customFormat="1">
      <c r="F56" s="103"/>
      <c r="G56" s="108">
        <v>5756250297</v>
      </c>
      <c r="H56" s="115" t="s">
        <v>60</v>
      </c>
      <c r="I56" s="109">
        <v>0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109">
        <v>0</v>
      </c>
      <c r="P56" s="109">
        <v>2343</v>
      </c>
      <c r="Q56" s="109">
        <v>684</v>
      </c>
      <c r="R56" s="109">
        <v>415</v>
      </c>
      <c r="S56" s="109">
        <v>350</v>
      </c>
      <c r="T56" s="109">
        <v>179</v>
      </c>
      <c r="U56" s="114">
        <v>3971</v>
      </c>
    </row>
    <row r="57" spans="6:21" s="53" customFormat="1">
      <c r="F57" s="103"/>
      <c r="G57" s="109">
        <v>1665911804</v>
      </c>
      <c r="H57" s="115" t="s">
        <v>61</v>
      </c>
      <c r="I57" s="111">
        <v>8</v>
      </c>
      <c r="J57" s="111">
        <v>17</v>
      </c>
      <c r="K57" s="111">
        <v>19</v>
      </c>
      <c r="L57" s="111">
        <v>2</v>
      </c>
      <c r="M57" s="111">
        <v>0</v>
      </c>
      <c r="N57" s="111">
        <v>5</v>
      </c>
      <c r="O57" s="111">
        <v>6</v>
      </c>
      <c r="P57" s="111">
        <v>3</v>
      </c>
      <c r="Q57" s="111">
        <v>4</v>
      </c>
      <c r="R57" s="111">
        <v>11</v>
      </c>
      <c r="S57" s="111">
        <v>6</v>
      </c>
      <c r="T57" s="111">
        <v>7</v>
      </c>
      <c r="U57" s="114">
        <v>88</v>
      </c>
    </row>
    <row r="58" spans="6:21" s="53" customFormat="1">
      <c r="F58" s="103"/>
      <c r="G58" s="109">
        <v>3054467971</v>
      </c>
      <c r="H58" s="115" t="s">
        <v>62</v>
      </c>
      <c r="I58" s="111">
        <v>19</v>
      </c>
      <c r="J58" s="111">
        <v>38</v>
      </c>
      <c r="K58" s="111">
        <v>36</v>
      </c>
      <c r="L58" s="111">
        <v>9</v>
      </c>
      <c r="M58" s="111">
        <v>2</v>
      </c>
      <c r="N58" s="111">
        <v>4</v>
      </c>
      <c r="O58" s="111">
        <v>12</v>
      </c>
      <c r="P58" s="111">
        <v>12</v>
      </c>
      <c r="Q58" s="111">
        <v>15</v>
      </c>
      <c r="R58" s="111">
        <v>13</v>
      </c>
      <c r="S58" s="111">
        <v>17</v>
      </c>
      <c r="T58" s="111">
        <v>8</v>
      </c>
      <c r="U58" s="114">
        <v>185</v>
      </c>
    </row>
    <row r="59" spans="6:21" s="53" customFormat="1">
      <c r="F59" s="103"/>
      <c r="G59" s="109">
        <v>3380811569</v>
      </c>
      <c r="H59" s="115" t="s">
        <v>63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11">
        <v>0</v>
      </c>
      <c r="T59" s="111">
        <v>3</v>
      </c>
      <c r="U59" s="114">
        <v>3</v>
      </c>
    </row>
    <row r="60" spans="6:21" s="53" customFormat="1">
      <c r="F60" s="103"/>
      <c r="G60" s="103"/>
      <c r="H60" s="103"/>
      <c r="I60" s="113">
        <v>255</v>
      </c>
      <c r="J60" s="113">
        <v>992</v>
      </c>
      <c r="K60" s="113">
        <v>853</v>
      </c>
      <c r="L60" s="113">
        <v>417</v>
      </c>
      <c r="M60" s="113">
        <v>426</v>
      </c>
      <c r="N60" s="113">
        <v>493</v>
      </c>
      <c r="O60" s="113">
        <v>1199</v>
      </c>
      <c r="P60" s="113">
        <v>3187</v>
      </c>
      <c r="Q60" s="113">
        <v>2027</v>
      </c>
      <c r="R60" s="113">
        <v>1554</v>
      </c>
      <c r="S60" s="113">
        <v>1443</v>
      </c>
      <c r="T60" s="113">
        <v>614</v>
      </c>
      <c r="U60" s="111">
        <v>13460</v>
      </c>
    </row>
    <row r="61" spans="6:21" s="53" customFormat="1"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6:21" s="53" customFormat="1">
      <c r="F62" s="103"/>
      <c r="G62" s="103"/>
      <c r="H62" s="110" t="s">
        <v>64</v>
      </c>
      <c r="I62" s="111">
        <v>255000</v>
      </c>
      <c r="J62" s="111">
        <v>992000</v>
      </c>
      <c r="K62" s="111">
        <v>853000</v>
      </c>
      <c r="L62" s="111">
        <v>417000</v>
      </c>
      <c r="M62" s="111">
        <v>426000</v>
      </c>
      <c r="N62" s="111">
        <v>493000</v>
      </c>
      <c r="O62" s="111">
        <v>1199000</v>
      </c>
      <c r="P62" s="111">
        <v>3187000</v>
      </c>
      <c r="Q62" s="111">
        <v>2027000</v>
      </c>
      <c r="R62" s="111">
        <v>1554000</v>
      </c>
      <c r="S62" s="111">
        <v>1443000</v>
      </c>
      <c r="T62" s="111">
        <v>614000</v>
      </c>
      <c r="U62" s="111">
        <v>13460000</v>
      </c>
    </row>
    <row r="63" spans="6:21" s="53" customFormat="1"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6:21" s="53" customFormat="1">
      <c r="F64" s="75"/>
      <c r="G64" s="75"/>
      <c r="H64" s="75"/>
      <c r="I64" s="75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5"/>
    </row>
    <row r="65" spans="6:21" s="53" customFormat="1">
      <c r="F65" s="126" t="s">
        <v>72</v>
      </c>
      <c r="G65" s="118">
        <v>2021</v>
      </c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</row>
    <row r="66" spans="6:21" s="53" customFormat="1" ht="15.75" thickBot="1">
      <c r="F66" s="119" t="s">
        <v>30</v>
      </c>
      <c r="G66" s="120" t="s">
        <v>31</v>
      </c>
      <c r="H66" s="120" t="s">
        <v>32</v>
      </c>
      <c r="I66" s="120" t="s">
        <v>33</v>
      </c>
      <c r="J66" s="120" t="s">
        <v>34</v>
      </c>
      <c r="K66" s="120" t="s">
        <v>35</v>
      </c>
      <c r="L66" s="120" t="s">
        <v>36</v>
      </c>
      <c r="M66" s="120" t="s">
        <v>37</v>
      </c>
      <c r="N66" s="120" t="s">
        <v>38</v>
      </c>
      <c r="O66" s="120" t="s">
        <v>39</v>
      </c>
      <c r="P66" s="120" t="s">
        <v>40</v>
      </c>
      <c r="Q66" s="120" t="s">
        <v>41</v>
      </c>
      <c r="R66" s="120" t="s">
        <v>42</v>
      </c>
      <c r="S66" s="120" t="s">
        <v>43</v>
      </c>
      <c r="T66" s="120" t="s">
        <v>44</v>
      </c>
      <c r="U66" s="121" t="s">
        <v>100</v>
      </c>
    </row>
    <row r="67" spans="6:21" s="53" customFormat="1">
      <c r="F67" s="117"/>
      <c r="G67" s="122">
        <v>7534810685</v>
      </c>
      <c r="H67" s="129" t="s">
        <v>45</v>
      </c>
      <c r="I67" s="125">
        <v>12</v>
      </c>
      <c r="J67" s="125">
        <v>14</v>
      </c>
      <c r="K67" s="125">
        <v>14</v>
      </c>
      <c r="L67" s="125">
        <v>14</v>
      </c>
      <c r="M67" s="125">
        <v>17</v>
      </c>
      <c r="N67" s="125">
        <v>10</v>
      </c>
      <c r="O67" s="125">
        <v>10</v>
      </c>
      <c r="P67" s="125">
        <v>14</v>
      </c>
      <c r="Q67" s="125">
        <v>13</v>
      </c>
      <c r="R67" s="125">
        <v>18</v>
      </c>
      <c r="S67" s="125">
        <v>12</v>
      </c>
      <c r="T67" s="125">
        <v>15</v>
      </c>
      <c r="U67" s="128">
        <v>163</v>
      </c>
    </row>
    <row r="68" spans="6:21" s="53" customFormat="1">
      <c r="F68" s="117"/>
      <c r="G68" s="122">
        <v>4366050935</v>
      </c>
      <c r="H68" s="129" t="s">
        <v>46</v>
      </c>
      <c r="I68" s="125">
        <v>3</v>
      </c>
      <c r="J68" s="125">
        <v>16</v>
      </c>
      <c r="K68" s="125">
        <v>17</v>
      </c>
      <c r="L68" s="125">
        <v>15</v>
      </c>
      <c r="M68" s="125">
        <v>12</v>
      </c>
      <c r="N68" s="125">
        <v>1</v>
      </c>
      <c r="O68" s="125">
        <v>0</v>
      </c>
      <c r="P68" s="125">
        <v>2</v>
      </c>
      <c r="Q68" s="125">
        <v>69</v>
      </c>
      <c r="R68" s="125">
        <v>49</v>
      </c>
      <c r="S68" s="125">
        <v>62</v>
      </c>
      <c r="T68" s="125">
        <v>46</v>
      </c>
      <c r="U68" s="128">
        <v>292</v>
      </c>
    </row>
    <row r="69" spans="6:21" s="53" customFormat="1">
      <c r="F69" s="117"/>
      <c r="G69" s="122">
        <v>6366050937</v>
      </c>
      <c r="H69" s="129" t="s">
        <v>47</v>
      </c>
      <c r="I69" s="125">
        <v>1</v>
      </c>
      <c r="J69" s="125">
        <v>59</v>
      </c>
      <c r="K69" s="125">
        <v>49</v>
      </c>
      <c r="L69" s="125">
        <v>57</v>
      </c>
      <c r="M69" s="125">
        <v>96</v>
      </c>
      <c r="N69" s="125">
        <v>112</v>
      </c>
      <c r="O69" s="125">
        <v>28</v>
      </c>
      <c r="P69" s="125">
        <v>2</v>
      </c>
      <c r="Q69" s="125">
        <v>57</v>
      </c>
      <c r="R69" s="125">
        <v>54</v>
      </c>
      <c r="S69" s="125">
        <v>58</v>
      </c>
      <c r="T69" s="125">
        <v>27</v>
      </c>
      <c r="U69" s="128">
        <v>600</v>
      </c>
    </row>
    <row r="70" spans="6:21" s="53" customFormat="1">
      <c r="F70" s="117"/>
      <c r="G70" s="122">
        <v>7366050938</v>
      </c>
      <c r="H70" s="129" t="s">
        <v>48</v>
      </c>
      <c r="I70" s="125">
        <v>12</v>
      </c>
      <c r="J70" s="125">
        <v>18</v>
      </c>
      <c r="K70" s="125">
        <v>22</v>
      </c>
      <c r="L70" s="125">
        <v>19</v>
      </c>
      <c r="M70" s="125">
        <v>23</v>
      </c>
      <c r="N70" s="125">
        <v>25</v>
      </c>
      <c r="O70" s="125">
        <v>38</v>
      </c>
      <c r="P70" s="125">
        <v>64</v>
      </c>
      <c r="Q70" s="125">
        <v>55</v>
      </c>
      <c r="R70" s="125">
        <v>51</v>
      </c>
      <c r="S70" s="125">
        <v>34</v>
      </c>
      <c r="T70" s="125">
        <v>30</v>
      </c>
      <c r="U70" s="128">
        <v>391</v>
      </c>
    </row>
    <row r="71" spans="6:21" s="53" customFormat="1">
      <c r="F71" s="117"/>
      <c r="G71" s="122">
        <v>3366050934</v>
      </c>
      <c r="H71" s="129" t="s">
        <v>49</v>
      </c>
      <c r="I71" s="125">
        <v>1</v>
      </c>
      <c r="J71" s="125">
        <v>103</v>
      </c>
      <c r="K71" s="125">
        <v>189</v>
      </c>
      <c r="L71" s="125">
        <v>165</v>
      </c>
      <c r="M71" s="125">
        <v>120</v>
      </c>
      <c r="N71" s="125">
        <v>51</v>
      </c>
      <c r="O71" s="125">
        <v>84</v>
      </c>
      <c r="P71" s="125">
        <v>60</v>
      </c>
      <c r="Q71" s="125">
        <v>110</v>
      </c>
      <c r="R71" s="125">
        <v>137</v>
      </c>
      <c r="S71" s="125">
        <v>127</v>
      </c>
      <c r="T71" s="125">
        <v>122</v>
      </c>
      <c r="U71" s="128">
        <v>1269</v>
      </c>
    </row>
    <row r="72" spans="6:21" s="53" customFormat="1">
      <c r="F72" s="117"/>
      <c r="G72" s="122">
        <v>5581150299</v>
      </c>
      <c r="H72" s="129" t="s">
        <v>50</v>
      </c>
      <c r="I72" s="125">
        <v>39</v>
      </c>
      <c r="J72" s="125">
        <v>129</v>
      </c>
      <c r="K72" s="125">
        <v>143</v>
      </c>
      <c r="L72" s="125">
        <v>136</v>
      </c>
      <c r="M72" s="125">
        <v>104</v>
      </c>
      <c r="N72" s="125">
        <v>19</v>
      </c>
      <c r="O72" s="125">
        <v>101</v>
      </c>
      <c r="P72" s="125">
        <v>183</v>
      </c>
      <c r="Q72" s="125">
        <v>209</v>
      </c>
      <c r="R72" s="125">
        <v>324</v>
      </c>
      <c r="S72" s="125">
        <v>316</v>
      </c>
      <c r="T72" s="125">
        <v>325</v>
      </c>
      <c r="U72" s="128">
        <v>2028</v>
      </c>
    </row>
    <row r="73" spans="6:21" s="53" customFormat="1">
      <c r="F73" s="117"/>
      <c r="G73" s="122">
        <v>5366050936</v>
      </c>
      <c r="H73" s="129" t="s">
        <v>51</v>
      </c>
      <c r="I73" s="125">
        <v>0</v>
      </c>
      <c r="J73" s="125">
        <v>26</v>
      </c>
      <c r="K73" s="125">
        <v>29</v>
      </c>
      <c r="L73" s="125">
        <v>31</v>
      </c>
      <c r="M73" s="125">
        <v>23</v>
      </c>
      <c r="N73" s="125">
        <v>9</v>
      </c>
      <c r="O73" s="125">
        <v>9</v>
      </c>
      <c r="P73" s="125">
        <v>12</v>
      </c>
      <c r="Q73" s="125">
        <v>20</v>
      </c>
      <c r="R73" s="125">
        <v>41</v>
      </c>
      <c r="S73" s="125">
        <v>31</v>
      </c>
      <c r="T73" s="125">
        <v>26</v>
      </c>
      <c r="U73" s="128">
        <v>257</v>
      </c>
    </row>
    <row r="74" spans="6:21" s="53" customFormat="1">
      <c r="F74" s="117"/>
      <c r="G74" s="122">
        <v>2052150585</v>
      </c>
      <c r="H74" s="129" t="s">
        <v>52</v>
      </c>
      <c r="I74" s="125">
        <v>37</v>
      </c>
      <c r="J74" s="125">
        <v>158</v>
      </c>
      <c r="K74" s="125">
        <v>176</v>
      </c>
      <c r="L74" s="125">
        <v>190</v>
      </c>
      <c r="M74" s="125">
        <v>151</v>
      </c>
      <c r="N74" s="125">
        <v>162</v>
      </c>
      <c r="O74" s="125">
        <v>273</v>
      </c>
      <c r="P74" s="125">
        <v>315</v>
      </c>
      <c r="Q74" s="125">
        <v>558</v>
      </c>
      <c r="R74" s="125">
        <v>454</v>
      </c>
      <c r="S74" s="125">
        <v>249</v>
      </c>
      <c r="T74" s="125">
        <v>189</v>
      </c>
      <c r="U74" s="128">
        <v>2912</v>
      </c>
    </row>
    <row r="75" spans="6:21" s="53" customFormat="1">
      <c r="F75" s="117"/>
      <c r="G75" s="122">
        <v>8635150066</v>
      </c>
      <c r="H75" s="129" t="s">
        <v>53</v>
      </c>
      <c r="I75" s="125">
        <v>3</v>
      </c>
      <c r="J75" s="125">
        <v>3</v>
      </c>
      <c r="K75" s="125">
        <v>3</v>
      </c>
      <c r="L75" s="125">
        <v>3</v>
      </c>
      <c r="M75" s="125">
        <v>31</v>
      </c>
      <c r="N75" s="125">
        <v>14</v>
      </c>
      <c r="O75" s="125">
        <v>123</v>
      </c>
      <c r="P75" s="125">
        <v>9</v>
      </c>
      <c r="Q75" s="125">
        <v>17</v>
      </c>
      <c r="R75" s="125">
        <v>19</v>
      </c>
      <c r="S75" s="125">
        <v>30</v>
      </c>
      <c r="T75" s="125">
        <v>27</v>
      </c>
      <c r="U75" s="128">
        <v>282</v>
      </c>
    </row>
    <row r="76" spans="6:21" s="53" customFormat="1">
      <c r="F76" s="117"/>
      <c r="G76" s="123">
        <v>6663150208</v>
      </c>
      <c r="H76" s="129" t="s">
        <v>54</v>
      </c>
      <c r="I76" s="125">
        <v>30</v>
      </c>
      <c r="J76" s="125">
        <v>16</v>
      </c>
      <c r="K76" s="125">
        <v>18</v>
      </c>
      <c r="L76" s="125">
        <v>17</v>
      </c>
      <c r="M76" s="125">
        <v>19</v>
      </c>
      <c r="N76" s="125">
        <v>12</v>
      </c>
      <c r="O76" s="125">
        <v>12</v>
      </c>
      <c r="P76" s="125">
        <v>12</v>
      </c>
      <c r="Q76" s="125">
        <v>17</v>
      </c>
      <c r="R76" s="125">
        <v>21</v>
      </c>
      <c r="S76" s="125">
        <v>22</v>
      </c>
      <c r="T76" s="125">
        <v>22</v>
      </c>
      <c r="U76" s="128">
        <v>218</v>
      </c>
    </row>
    <row r="77" spans="6:21" s="53" customFormat="1">
      <c r="F77" s="117"/>
      <c r="G77" s="122">
        <v>6068150813</v>
      </c>
      <c r="H77" s="129" t="s">
        <v>55</v>
      </c>
      <c r="I77" s="125">
        <v>2</v>
      </c>
      <c r="J77" s="125">
        <v>7</v>
      </c>
      <c r="K77" s="125">
        <v>8</v>
      </c>
      <c r="L77" s="125">
        <v>8</v>
      </c>
      <c r="M77" s="125">
        <v>7</v>
      </c>
      <c r="N77" s="125">
        <v>13</v>
      </c>
      <c r="O77" s="125">
        <v>23</v>
      </c>
      <c r="P77" s="125">
        <v>14</v>
      </c>
      <c r="Q77" s="125">
        <v>37</v>
      </c>
      <c r="R77" s="125">
        <v>78</v>
      </c>
      <c r="S77" s="125">
        <v>30</v>
      </c>
      <c r="T77" s="125">
        <v>21</v>
      </c>
      <c r="U77" s="128">
        <v>248</v>
      </c>
    </row>
    <row r="78" spans="6:21" s="53" customFormat="1">
      <c r="F78" s="117"/>
      <c r="G78" s="123">
        <v>5068150812</v>
      </c>
      <c r="H78" s="129" t="s">
        <v>56</v>
      </c>
      <c r="I78" s="125">
        <v>2</v>
      </c>
      <c r="J78" s="125">
        <v>4</v>
      </c>
      <c r="K78" s="125">
        <v>6</v>
      </c>
      <c r="L78" s="125">
        <v>5</v>
      </c>
      <c r="M78" s="125">
        <v>6</v>
      </c>
      <c r="N78" s="125">
        <v>2</v>
      </c>
      <c r="O78" s="125">
        <v>2</v>
      </c>
      <c r="P78" s="125">
        <v>2</v>
      </c>
      <c r="Q78" s="125">
        <v>5</v>
      </c>
      <c r="R78" s="125">
        <v>7</v>
      </c>
      <c r="S78" s="125">
        <v>10</v>
      </c>
      <c r="T78" s="125">
        <v>7</v>
      </c>
      <c r="U78" s="128">
        <v>58</v>
      </c>
    </row>
    <row r="79" spans="6:21" s="53" customFormat="1">
      <c r="F79" s="117"/>
      <c r="G79" s="123">
        <v>2364150700</v>
      </c>
      <c r="H79" s="129" t="s">
        <v>57</v>
      </c>
      <c r="I79" s="125">
        <v>34</v>
      </c>
      <c r="J79" s="125">
        <v>33</v>
      </c>
      <c r="K79" s="125">
        <v>33</v>
      </c>
      <c r="L79" s="125">
        <v>26</v>
      </c>
      <c r="M79" s="125">
        <v>46</v>
      </c>
      <c r="N79" s="125">
        <v>23</v>
      </c>
      <c r="O79" s="125">
        <v>40</v>
      </c>
      <c r="P79" s="125">
        <v>41</v>
      </c>
      <c r="Q79" s="125">
        <v>62</v>
      </c>
      <c r="R79" s="125">
        <v>57</v>
      </c>
      <c r="S79" s="125">
        <v>43</v>
      </c>
      <c r="T79" s="125">
        <v>48</v>
      </c>
      <c r="U79" s="128">
        <v>486</v>
      </c>
    </row>
    <row r="80" spans="6:21" s="53" customFormat="1">
      <c r="F80" s="117"/>
      <c r="G80" s="123">
        <v>1364150699</v>
      </c>
      <c r="H80" s="129" t="s">
        <v>58</v>
      </c>
      <c r="I80" s="125">
        <v>17</v>
      </c>
      <c r="J80" s="125">
        <v>25</v>
      </c>
      <c r="K80" s="125">
        <v>28</v>
      </c>
      <c r="L80" s="125">
        <v>26</v>
      </c>
      <c r="M80" s="125">
        <v>21</v>
      </c>
      <c r="N80" s="125">
        <v>94</v>
      </c>
      <c r="O80" s="125">
        <v>135</v>
      </c>
      <c r="P80" s="125">
        <v>167</v>
      </c>
      <c r="Q80" s="125">
        <v>327</v>
      </c>
      <c r="R80" s="125">
        <v>190</v>
      </c>
      <c r="S80" s="125">
        <v>83</v>
      </c>
      <c r="T80" s="125">
        <v>56</v>
      </c>
      <c r="U80" s="128">
        <v>1169</v>
      </c>
    </row>
    <row r="81" spans="6:21" s="53" customFormat="1">
      <c r="F81" s="117"/>
      <c r="G81" s="122">
        <v>2068150809</v>
      </c>
      <c r="H81" s="129" t="s">
        <v>59</v>
      </c>
      <c r="I81" s="125">
        <v>0</v>
      </c>
      <c r="J81" s="125">
        <v>0</v>
      </c>
      <c r="K81" s="125">
        <v>1</v>
      </c>
      <c r="L81" s="125">
        <v>1</v>
      </c>
      <c r="M81" s="125">
        <v>2</v>
      </c>
      <c r="N81" s="125">
        <v>0</v>
      </c>
      <c r="O81" s="125">
        <v>1</v>
      </c>
      <c r="P81" s="125">
        <v>1</v>
      </c>
      <c r="Q81" s="125">
        <v>0</v>
      </c>
      <c r="R81" s="125">
        <v>1</v>
      </c>
      <c r="S81" s="125">
        <v>1</v>
      </c>
      <c r="T81" s="125">
        <v>1</v>
      </c>
      <c r="U81" s="128">
        <v>9</v>
      </c>
    </row>
    <row r="82" spans="6:21" s="53" customFormat="1">
      <c r="F82" s="117"/>
      <c r="G82" s="122">
        <v>5756250297</v>
      </c>
      <c r="H82" s="129" t="s">
        <v>60</v>
      </c>
      <c r="I82" s="123">
        <v>135</v>
      </c>
      <c r="J82" s="123">
        <v>1</v>
      </c>
      <c r="K82" s="123">
        <v>2</v>
      </c>
      <c r="L82" s="123">
        <v>2</v>
      </c>
      <c r="M82" s="123">
        <v>40</v>
      </c>
      <c r="N82" s="123">
        <v>247</v>
      </c>
      <c r="O82" s="123">
        <v>360</v>
      </c>
      <c r="P82" s="123">
        <v>406</v>
      </c>
      <c r="Q82" s="123">
        <v>615</v>
      </c>
      <c r="R82" s="123">
        <v>674</v>
      </c>
      <c r="S82" s="123">
        <v>456</v>
      </c>
      <c r="T82" s="123">
        <v>444</v>
      </c>
      <c r="U82" s="128">
        <v>3382</v>
      </c>
    </row>
    <row r="83" spans="6:21" s="53" customFormat="1">
      <c r="F83" s="117"/>
      <c r="G83" s="123">
        <v>1665911804</v>
      </c>
      <c r="H83" s="129" t="s">
        <v>61</v>
      </c>
      <c r="I83" s="125">
        <v>3</v>
      </c>
      <c r="J83" s="125">
        <v>19</v>
      </c>
      <c r="K83" s="125">
        <v>3</v>
      </c>
      <c r="L83" s="125">
        <v>9</v>
      </c>
      <c r="M83" s="125">
        <v>5</v>
      </c>
      <c r="N83" s="125">
        <v>3</v>
      </c>
      <c r="O83" s="125">
        <v>4</v>
      </c>
      <c r="P83" s="125">
        <v>5</v>
      </c>
      <c r="Q83" s="125">
        <v>6</v>
      </c>
      <c r="R83" s="125">
        <v>6</v>
      </c>
      <c r="S83" s="125">
        <v>14</v>
      </c>
      <c r="T83" s="125">
        <v>11</v>
      </c>
      <c r="U83" s="128">
        <v>88</v>
      </c>
    </row>
    <row r="84" spans="6:21" s="53" customFormat="1">
      <c r="F84" s="117"/>
      <c r="G84" s="123">
        <v>3054467971</v>
      </c>
      <c r="H84" s="129" t="s">
        <v>62</v>
      </c>
      <c r="I84" s="125">
        <v>5</v>
      </c>
      <c r="J84" s="125">
        <v>10</v>
      </c>
      <c r="K84" s="125">
        <v>13</v>
      </c>
      <c r="L84" s="125">
        <v>13</v>
      </c>
      <c r="M84" s="125">
        <v>14</v>
      </c>
      <c r="N84" s="125">
        <v>11</v>
      </c>
      <c r="O84" s="125">
        <v>13</v>
      </c>
      <c r="P84" s="125">
        <v>15</v>
      </c>
      <c r="Q84" s="125">
        <v>21</v>
      </c>
      <c r="R84" s="125">
        <v>24</v>
      </c>
      <c r="S84" s="125">
        <v>42</v>
      </c>
      <c r="T84" s="125">
        <v>22</v>
      </c>
      <c r="U84" s="128">
        <v>203</v>
      </c>
    </row>
    <row r="85" spans="6:21" s="53" customFormat="1">
      <c r="F85" s="117"/>
      <c r="G85" s="123">
        <v>3380811569</v>
      </c>
      <c r="H85" s="129" t="s">
        <v>63</v>
      </c>
      <c r="I85" s="125">
        <v>0</v>
      </c>
      <c r="J85" s="125">
        <v>0</v>
      </c>
      <c r="K85" s="125">
        <v>0</v>
      </c>
      <c r="L85" s="125">
        <v>0</v>
      </c>
      <c r="M85" s="125">
        <v>0</v>
      </c>
      <c r="N85" s="125">
        <v>0</v>
      </c>
      <c r="O85" s="125">
        <v>1</v>
      </c>
      <c r="P85" s="125">
        <v>0</v>
      </c>
      <c r="Q85" s="125">
        <v>0</v>
      </c>
      <c r="R85" s="125">
        <v>0</v>
      </c>
      <c r="S85" s="125">
        <v>0</v>
      </c>
      <c r="T85" s="125">
        <v>0</v>
      </c>
      <c r="U85" s="128">
        <v>1</v>
      </c>
    </row>
    <row r="86" spans="6:21" s="53" customFormat="1">
      <c r="F86" s="117"/>
      <c r="G86" s="117"/>
      <c r="H86" s="117"/>
      <c r="I86" s="127">
        <v>336</v>
      </c>
      <c r="J86" s="127">
        <v>641</v>
      </c>
      <c r="K86" s="127">
        <v>754</v>
      </c>
      <c r="L86" s="127">
        <v>737</v>
      </c>
      <c r="M86" s="127">
        <v>737</v>
      </c>
      <c r="N86" s="127">
        <v>808</v>
      </c>
      <c r="O86" s="127">
        <v>1257</v>
      </c>
      <c r="P86" s="127">
        <v>1324</v>
      </c>
      <c r="Q86" s="127">
        <v>2198</v>
      </c>
      <c r="R86" s="127">
        <v>2205</v>
      </c>
      <c r="S86" s="127">
        <v>1620</v>
      </c>
      <c r="T86" s="127">
        <v>1439</v>
      </c>
      <c r="U86" s="125">
        <v>14056</v>
      </c>
    </row>
    <row r="87" spans="6:21" s="53" customFormat="1"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6:21" s="53" customFormat="1">
      <c r="F88" s="117"/>
      <c r="G88" s="117"/>
      <c r="H88" s="124" t="s">
        <v>64</v>
      </c>
      <c r="I88" s="125">
        <v>336000</v>
      </c>
      <c r="J88" s="125">
        <v>641000</v>
      </c>
      <c r="K88" s="125">
        <v>754000</v>
      </c>
      <c r="L88" s="125">
        <v>737000</v>
      </c>
      <c r="M88" s="125">
        <v>737000</v>
      </c>
      <c r="N88" s="125">
        <v>808000</v>
      </c>
      <c r="O88" s="125">
        <v>1257000</v>
      </c>
      <c r="P88" s="125">
        <v>1324000</v>
      </c>
      <c r="Q88" s="125">
        <v>2198000</v>
      </c>
      <c r="R88" s="125">
        <v>2205000</v>
      </c>
      <c r="S88" s="125">
        <v>1620000</v>
      </c>
      <c r="T88" s="125">
        <v>1439000</v>
      </c>
      <c r="U88" s="125">
        <v>14056000</v>
      </c>
    </row>
    <row r="89" spans="6:21" s="53" customFormat="1"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6:21" s="53" customFormat="1">
      <c r="F90" s="75"/>
      <c r="G90" s="75"/>
      <c r="H90" s="75"/>
      <c r="I90" s="75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5"/>
    </row>
    <row r="91" spans="6:21" s="53" customFormat="1">
      <c r="F91" s="140" t="s">
        <v>72</v>
      </c>
      <c r="G91" s="132">
        <v>2022</v>
      </c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</row>
    <row r="92" spans="6:21" s="53" customFormat="1" ht="15.75" thickBot="1">
      <c r="F92" s="133" t="s">
        <v>30</v>
      </c>
      <c r="G92" s="134" t="s">
        <v>31</v>
      </c>
      <c r="H92" s="134" t="s">
        <v>32</v>
      </c>
      <c r="I92" s="134" t="s">
        <v>33</v>
      </c>
      <c r="J92" s="134" t="s">
        <v>34</v>
      </c>
      <c r="K92" s="134" t="s">
        <v>35</v>
      </c>
      <c r="L92" s="134" t="s">
        <v>36</v>
      </c>
      <c r="M92" s="134" t="s">
        <v>37</v>
      </c>
      <c r="N92" s="134" t="s">
        <v>38</v>
      </c>
      <c r="O92" s="134" t="s">
        <v>39</v>
      </c>
      <c r="P92" s="134" t="s">
        <v>40</v>
      </c>
      <c r="Q92" s="134" t="s">
        <v>41</v>
      </c>
      <c r="R92" s="134" t="s">
        <v>42</v>
      </c>
      <c r="S92" s="134" t="s">
        <v>43</v>
      </c>
      <c r="T92" s="134" t="s">
        <v>44</v>
      </c>
      <c r="U92" s="135" t="s">
        <v>100</v>
      </c>
    </row>
    <row r="93" spans="6:21" s="53" customFormat="1">
      <c r="F93" s="131"/>
      <c r="G93" s="136">
        <v>7534810685</v>
      </c>
      <c r="H93" s="143" t="s">
        <v>45</v>
      </c>
      <c r="I93" s="139">
        <v>15</v>
      </c>
      <c r="J93" s="139">
        <v>15</v>
      </c>
      <c r="K93" s="139">
        <v>16</v>
      </c>
      <c r="L93" s="139">
        <v>17</v>
      </c>
      <c r="M93" s="139">
        <v>18</v>
      </c>
      <c r="N93" s="139">
        <v>10</v>
      </c>
      <c r="O93" s="139">
        <v>21</v>
      </c>
      <c r="P93" s="139">
        <v>19</v>
      </c>
      <c r="Q93" s="139">
        <v>16</v>
      </c>
      <c r="R93" s="139">
        <v>13</v>
      </c>
      <c r="S93" s="139">
        <v>15</v>
      </c>
      <c r="T93" s="139">
        <v>18</v>
      </c>
      <c r="U93" s="142">
        <v>193</v>
      </c>
    </row>
    <row r="94" spans="6:21" s="53" customFormat="1">
      <c r="F94" s="131"/>
      <c r="G94" s="136">
        <v>4366050935</v>
      </c>
      <c r="H94" s="143" t="s">
        <v>46</v>
      </c>
      <c r="I94" s="139">
        <v>9</v>
      </c>
      <c r="J94" s="139">
        <v>69</v>
      </c>
      <c r="K94" s="139">
        <v>63</v>
      </c>
      <c r="L94" s="139">
        <v>77</v>
      </c>
      <c r="M94" s="139">
        <v>28</v>
      </c>
      <c r="N94" s="139">
        <v>2</v>
      </c>
      <c r="O94" s="139">
        <v>1</v>
      </c>
      <c r="P94" s="139">
        <v>3</v>
      </c>
      <c r="Q94" s="139">
        <v>31</v>
      </c>
      <c r="R94" s="139">
        <v>43</v>
      </c>
      <c r="S94" s="139">
        <v>42</v>
      </c>
      <c r="T94" s="139">
        <v>41</v>
      </c>
      <c r="U94" s="142">
        <v>409</v>
      </c>
    </row>
    <row r="95" spans="6:21" s="53" customFormat="1">
      <c r="F95" s="131"/>
      <c r="G95" s="136">
        <v>6366050937</v>
      </c>
      <c r="H95" s="143" t="s">
        <v>47</v>
      </c>
      <c r="I95" s="139">
        <v>9</v>
      </c>
      <c r="J95" s="139">
        <v>20</v>
      </c>
      <c r="K95" s="139">
        <v>17</v>
      </c>
      <c r="L95" s="139">
        <v>24</v>
      </c>
      <c r="M95" s="139">
        <v>15</v>
      </c>
      <c r="N95" s="139">
        <v>12</v>
      </c>
      <c r="O95" s="139">
        <v>11</v>
      </c>
      <c r="P95" s="139">
        <v>9</v>
      </c>
      <c r="Q95" s="139">
        <v>19</v>
      </c>
      <c r="R95" s="139">
        <v>19</v>
      </c>
      <c r="S95" s="139">
        <v>24</v>
      </c>
      <c r="T95" s="139">
        <v>20</v>
      </c>
      <c r="U95" s="142">
        <v>199</v>
      </c>
    </row>
    <row r="96" spans="6:21" s="53" customFormat="1">
      <c r="F96" s="131"/>
      <c r="G96" s="136">
        <v>7366050938</v>
      </c>
      <c r="H96" s="143" t="s">
        <v>48</v>
      </c>
      <c r="I96" s="139">
        <v>20</v>
      </c>
      <c r="J96" s="139">
        <v>32</v>
      </c>
      <c r="K96" s="139">
        <v>31</v>
      </c>
      <c r="L96" s="139">
        <v>33</v>
      </c>
      <c r="M96" s="139">
        <v>28</v>
      </c>
      <c r="N96" s="139">
        <v>41</v>
      </c>
      <c r="O96" s="139">
        <v>46</v>
      </c>
      <c r="P96" s="139">
        <v>48</v>
      </c>
      <c r="Q96" s="139">
        <v>51</v>
      </c>
      <c r="R96" s="139">
        <v>52</v>
      </c>
      <c r="S96" s="139">
        <v>48</v>
      </c>
      <c r="T96" s="139">
        <v>48</v>
      </c>
      <c r="U96" s="142">
        <v>478</v>
      </c>
    </row>
    <row r="97" spans="6:21" s="53" customFormat="1">
      <c r="F97" s="131"/>
      <c r="G97" s="136">
        <v>3366050934</v>
      </c>
      <c r="H97" s="143" t="s">
        <v>49</v>
      </c>
      <c r="I97" s="139">
        <v>24</v>
      </c>
      <c r="J97" s="139">
        <v>151</v>
      </c>
      <c r="K97" s="139">
        <v>135</v>
      </c>
      <c r="L97" s="139">
        <v>140</v>
      </c>
      <c r="M97" s="139">
        <v>71</v>
      </c>
      <c r="N97" s="139">
        <v>35</v>
      </c>
      <c r="O97" s="139">
        <v>14</v>
      </c>
      <c r="P97" s="139">
        <v>54</v>
      </c>
      <c r="Q97" s="139">
        <v>130</v>
      </c>
      <c r="R97" s="139">
        <v>176</v>
      </c>
      <c r="S97" s="139">
        <v>160</v>
      </c>
      <c r="T97" s="139">
        <v>179</v>
      </c>
      <c r="U97" s="142">
        <v>1269</v>
      </c>
    </row>
    <row r="98" spans="6:21" s="53" customFormat="1">
      <c r="F98" s="131"/>
      <c r="G98" s="136">
        <v>5581150299</v>
      </c>
      <c r="H98" s="143" t="s">
        <v>50</v>
      </c>
      <c r="I98" s="139">
        <v>269</v>
      </c>
      <c r="J98" s="139">
        <v>309</v>
      </c>
      <c r="K98" s="139">
        <v>297</v>
      </c>
      <c r="L98" s="139">
        <v>343</v>
      </c>
      <c r="M98" s="139">
        <v>269</v>
      </c>
      <c r="N98" s="139">
        <v>49</v>
      </c>
      <c r="O98" s="139">
        <v>103</v>
      </c>
      <c r="P98" s="139">
        <v>108</v>
      </c>
      <c r="Q98" s="139">
        <v>161</v>
      </c>
      <c r="R98" s="139">
        <v>122</v>
      </c>
      <c r="S98" s="139">
        <v>126</v>
      </c>
      <c r="T98" s="139">
        <v>127</v>
      </c>
      <c r="U98" s="142">
        <v>2283</v>
      </c>
    </row>
    <row r="99" spans="6:21" s="53" customFormat="1">
      <c r="F99" s="131"/>
      <c r="G99" s="136">
        <v>5366050936</v>
      </c>
      <c r="H99" s="143" t="s">
        <v>51</v>
      </c>
      <c r="I99" s="139">
        <v>20</v>
      </c>
      <c r="J99" s="139">
        <v>25</v>
      </c>
      <c r="K99" s="139">
        <v>23</v>
      </c>
      <c r="L99" s="139">
        <v>28</v>
      </c>
      <c r="M99" s="139">
        <v>19</v>
      </c>
      <c r="N99" s="139">
        <v>8</v>
      </c>
      <c r="O99" s="139">
        <v>9</v>
      </c>
      <c r="P99" s="139">
        <v>29</v>
      </c>
      <c r="Q99" s="139">
        <v>188</v>
      </c>
      <c r="R99" s="139">
        <v>125</v>
      </c>
      <c r="S99" s="139">
        <v>40</v>
      </c>
      <c r="T99" s="139">
        <v>179</v>
      </c>
      <c r="U99" s="142">
        <v>693</v>
      </c>
    </row>
    <row r="100" spans="6:21" s="53" customFormat="1">
      <c r="F100" s="131"/>
      <c r="G100" s="136">
        <v>2052150585</v>
      </c>
      <c r="H100" s="143" t="s">
        <v>52</v>
      </c>
      <c r="I100" s="139">
        <v>51</v>
      </c>
      <c r="J100" s="139">
        <v>144</v>
      </c>
      <c r="K100" s="139">
        <v>134</v>
      </c>
      <c r="L100" s="139">
        <v>225</v>
      </c>
      <c r="M100" s="139">
        <v>505</v>
      </c>
      <c r="N100" s="139">
        <v>341</v>
      </c>
      <c r="O100" s="139">
        <v>429</v>
      </c>
      <c r="P100" s="139">
        <v>395</v>
      </c>
      <c r="Q100" s="139">
        <v>525</v>
      </c>
      <c r="R100" s="139">
        <v>307</v>
      </c>
      <c r="S100" s="139">
        <v>237</v>
      </c>
      <c r="T100" s="139">
        <v>149</v>
      </c>
      <c r="U100" s="142">
        <v>3442</v>
      </c>
    </row>
    <row r="101" spans="6:21" s="53" customFormat="1">
      <c r="F101" s="131"/>
      <c r="G101" s="136">
        <v>8635150066</v>
      </c>
      <c r="H101" s="143" t="s">
        <v>53</v>
      </c>
      <c r="I101" s="139">
        <v>17</v>
      </c>
      <c r="J101" s="139">
        <v>20</v>
      </c>
      <c r="K101" s="139">
        <v>19</v>
      </c>
      <c r="L101" s="139">
        <v>28</v>
      </c>
      <c r="M101" s="139">
        <v>24</v>
      </c>
      <c r="N101" s="139">
        <v>27</v>
      </c>
      <c r="O101" s="139">
        <v>77</v>
      </c>
      <c r="P101" s="139">
        <v>3</v>
      </c>
      <c r="Q101" s="139">
        <v>68</v>
      </c>
      <c r="R101" s="139">
        <v>10</v>
      </c>
      <c r="S101" s="139">
        <v>12</v>
      </c>
      <c r="T101" s="139">
        <v>3</v>
      </c>
      <c r="U101" s="142">
        <v>308</v>
      </c>
    </row>
    <row r="102" spans="6:21" s="53" customFormat="1">
      <c r="F102" s="131"/>
      <c r="G102" s="137">
        <v>6663150208</v>
      </c>
      <c r="H102" s="143" t="s">
        <v>54</v>
      </c>
      <c r="I102" s="139">
        <v>9</v>
      </c>
      <c r="J102" s="139">
        <v>19</v>
      </c>
      <c r="K102" s="139">
        <v>21</v>
      </c>
      <c r="L102" s="139">
        <v>25</v>
      </c>
      <c r="M102" s="139">
        <v>21</v>
      </c>
      <c r="N102" s="139">
        <v>10</v>
      </c>
      <c r="O102" s="139">
        <v>9</v>
      </c>
      <c r="P102" s="139">
        <v>11</v>
      </c>
      <c r="Q102" s="139">
        <v>21</v>
      </c>
      <c r="R102" s="139">
        <v>25</v>
      </c>
      <c r="S102" s="139">
        <v>36</v>
      </c>
      <c r="T102" s="139">
        <v>42</v>
      </c>
      <c r="U102" s="142">
        <v>249</v>
      </c>
    </row>
    <row r="103" spans="6:21" s="53" customFormat="1">
      <c r="F103" s="131"/>
      <c r="G103" s="136">
        <v>6068150813</v>
      </c>
      <c r="H103" s="143" t="s">
        <v>55</v>
      </c>
      <c r="I103" s="139">
        <v>6</v>
      </c>
      <c r="J103" s="139">
        <v>17</v>
      </c>
      <c r="K103" s="139">
        <v>16</v>
      </c>
      <c r="L103" s="139">
        <v>40</v>
      </c>
      <c r="M103" s="139">
        <v>231</v>
      </c>
      <c r="N103" s="139">
        <v>127</v>
      </c>
      <c r="O103" s="139">
        <v>264</v>
      </c>
      <c r="P103" s="139">
        <v>228</v>
      </c>
      <c r="Q103" s="139">
        <v>267</v>
      </c>
      <c r="R103" s="139">
        <v>128</v>
      </c>
      <c r="S103" s="139">
        <v>80</v>
      </c>
      <c r="T103" s="139">
        <v>21</v>
      </c>
      <c r="U103" s="142">
        <v>1425</v>
      </c>
    </row>
    <row r="104" spans="6:21" s="53" customFormat="1">
      <c r="F104" s="131"/>
      <c r="G104" s="137">
        <v>5068150812</v>
      </c>
      <c r="H104" s="143" t="s">
        <v>56</v>
      </c>
      <c r="I104" s="139">
        <v>1</v>
      </c>
      <c r="J104" s="139">
        <v>7</v>
      </c>
      <c r="K104" s="139">
        <v>6</v>
      </c>
      <c r="L104" s="139">
        <v>10</v>
      </c>
      <c r="M104" s="139">
        <v>6</v>
      </c>
      <c r="N104" s="139">
        <v>4</v>
      </c>
      <c r="O104" s="139">
        <v>3</v>
      </c>
      <c r="P104" s="139">
        <v>5</v>
      </c>
      <c r="Q104" s="139">
        <v>7</v>
      </c>
      <c r="R104" s="139">
        <v>10</v>
      </c>
      <c r="S104" s="139">
        <v>11</v>
      </c>
      <c r="T104" s="139">
        <v>9</v>
      </c>
      <c r="U104" s="142">
        <v>79</v>
      </c>
    </row>
    <row r="105" spans="6:21" s="53" customFormat="1">
      <c r="F105" s="131"/>
      <c r="G105" s="137">
        <v>2364150700</v>
      </c>
      <c r="H105" s="143" t="s">
        <v>57</v>
      </c>
      <c r="I105" s="139">
        <v>34</v>
      </c>
      <c r="J105" s="139">
        <v>40</v>
      </c>
      <c r="K105" s="139">
        <v>34</v>
      </c>
      <c r="L105" s="139">
        <v>45</v>
      </c>
      <c r="M105" s="139">
        <v>30</v>
      </c>
      <c r="N105" s="139">
        <v>38</v>
      </c>
      <c r="O105" s="139">
        <v>40</v>
      </c>
      <c r="P105" s="139">
        <v>46</v>
      </c>
      <c r="Q105" s="139">
        <v>70</v>
      </c>
      <c r="R105" s="139">
        <v>52</v>
      </c>
      <c r="S105" s="139">
        <v>43</v>
      </c>
      <c r="T105" s="139">
        <v>38</v>
      </c>
      <c r="U105" s="142">
        <v>510</v>
      </c>
    </row>
    <row r="106" spans="6:21" s="53" customFormat="1">
      <c r="F106" s="131"/>
      <c r="G106" s="137">
        <v>1364150699</v>
      </c>
      <c r="H106" s="143" t="s">
        <v>58</v>
      </c>
      <c r="I106" s="139">
        <v>12</v>
      </c>
      <c r="J106" s="139">
        <v>45</v>
      </c>
      <c r="K106" s="139">
        <v>46</v>
      </c>
      <c r="L106" s="139">
        <v>52</v>
      </c>
      <c r="M106" s="139">
        <v>76</v>
      </c>
      <c r="N106" s="139">
        <v>68</v>
      </c>
      <c r="O106" s="139">
        <v>129</v>
      </c>
      <c r="P106" s="139">
        <v>113</v>
      </c>
      <c r="Q106" s="139">
        <v>139</v>
      </c>
      <c r="R106" s="139">
        <v>80</v>
      </c>
      <c r="S106" s="139">
        <v>66</v>
      </c>
      <c r="T106" s="139">
        <v>37</v>
      </c>
      <c r="U106" s="142">
        <v>863</v>
      </c>
    </row>
    <row r="107" spans="6:21" s="53" customFormat="1">
      <c r="F107" s="131"/>
      <c r="G107" s="136">
        <v>2068150809</v>
      </c>
      <c r="H107" s="143" t="s">
        <v>59</v>
      </c>
      <c r="I107" s="139">
        <v>0</v>
      </c>
      <c r="J107" s="139">
        <v>1</v>
      </c>
      <c r="K107" s="139">
        <v>1</v>
      </c>
      <c r="L107" s="139">
        <v>1</v>
      </c>
      <c r="M107" s="139">
        <v>1</v>
      </c>
      <c r="N107" s="139">
        <v>1</v>
      </c>
      <c r="O107" s="139">
        <v>1</v>
      </c>
      <c r="P107" s="139">
        <v>1</v>
      </c>
      <c r="Q107" s="139">
        <v>1</v>
      </c>
      <c r="R107" s="139">
        <v>1</v>
      </c>
      <c r="S107" s="139">
        <v>1</v>
      </c>
      <c r="T107" s="139">
        <v>0</v>
      </c>
      <c r="U107" s="142">
        <v>10</v>
      </c>
    </row>
    <row r="108" spans="6:21" s="53" customFormat="1">
      <c r="F108" s="131"/>
      <c r="G108" s="136">
        <v>5756250297</v>
      </c>
      <c r="H108" s="143" t="s">
        <v>60</v>
      </c>
      <c r="I108" s="137">
        <v>174</v>
      </c>
      <c r="J108" s="137">
        <v>359</v>
      </c>
      <c r="K108" s="137">
        <v>313</v>
      </c>
      <c r="L108" s="137">
        <v>410</v>
      </c>
      <c r="M108" s="137">
        <v>351</v>
      </c>
      <c r="N108" s="137">
        <v>203</v>
      </c>
      <c r="O108" s="137">
        <v>367</v>
      </c>
      <c r="P108" s="137">
        <v>455</v>
      </c>
      <c r="Q108" s="137">
        <v>650</v>
      </c>
      <c r="R108" s="137">
        <v>523</v>
      </c>
      <c r="S108" s="137">
        <v>415</v>
      </c>
      <c r="T108" s="137">
        <v>303</v>
      </c>
      <c r="U108" s="142">
        <v>4523</v>
      </c>
    </row>
    <row r="109" spans="6:21" s="53" customFormat="1">
      <c r="F109" s="131"/>
      <c r="G109" s="137">
        <v>1665911804</v>
      </c>
      <c r="H109" s="143" t="s">
        <v>61</v>
      </c>
      <c r="I109" s="139">
        <v>4</v>
      </c>
      <c r="J109" s="139">
        <v>5</v>
      </c>
      <c r="K109" s="139">
        <v>5</v>
      </c>
      <c r="L109" s="139">
        <v>7</v>
      </c>
      <c r="M109" s="139">
        <v>8</v>
      </c>
      <c r="N109" s="139">
        <v>2</v>
      </c>
      <c r="O109" s="139">
        <v>6</v>
      </c>
      <c r="P109" s="139">
        <v>7</v>
      </c>
      <c r="Q109" s="139">
        <v>17</v>
      </c>
      <c r="R109" s="139">
        <v>6</v>
      </c>
      <c r="S109" s="139">
        <v>15</v>
      </c>
      <c r="T109" s="139">
        <v>6</v>
      </c>
      <c r="U109" s="142">
        <v>88</v>
      </c>
    </row>
    <row r="110" spans="6:21" s="53" customFormat="1">
      <c r="F110" s="131"/>
      <c r="G110" s="137">
        <v>3054467971</v>
      </c>
      <c r="H110" s="143" t="s">
        <v>62</v>
      </c>
      <c r="I110" s="139">
        <v>10</v>
      </c>
      <c r="J110" s="139">
        <v>14</v>
      </c>
      <c r="K110" s="139">
        <v>18</v>
      </c>
      <c r="L110" s="139">
        <v>22</v>
      </c>
      <c r="M110" s="139">
        <v>18</v>
      </c>
      <c r="N110" s="139">
        <v>13</v>
      </c>
      <c r="O110" s="139">
        <v>38</v>
      </c>
      <c r="P110" s="139">
        <v>22</v>
      </c>
      <c r="Q110" s="139">
        <v>27</v>
      </c>
      <c r="R110" s="139">
        <v>26</v>
      </c>
      <c r="S110" s="139">
        <v>24</v>
      </c>
      <c r="T110" s="139">
        <v>23</v>
      </c>
      <c r="U110" s="142">
        <v>255</v>
      </c>
    </row>
    <row r="111" spans="6:21" s="53" customFormat="1">
      <c r="F111" s="131"/>
      <c r="G111" s="137">
        <v>3380811569</v>
      </c>
      <c r="H111" s="143" t="s">
        <v>63</v>
      </c>
      <c r="I111" s="139">
        <v>0</v>
      </c>
      <c r="J111" s="139">
        <v>0</v>
      </c>
      <c r="K111" s="139">
        <v>0</v>
      </c>
      <c r="L111" s="139">
        <v>1</v>
      </c>
      <c r="M111" s="139">
        <v>0</v>
      </c>
      <c r="N111" s="139">
        <v>0</v>
      </c>
      <c r="O111" s="139">
        <v>1</v>
      </c>
      <c r="P111" s="139">
        <v>0</v>
      </c>
      <c r="Q111" s="139">
        <v>1</v>
      </c>
      <c r="R111" s="139">
        <v>0</v>
      </c>
      <c r="S111" s="139">
        <v>1</v>
      </c>
      <c r="T111" s="139">
        <v>1</v>
      </c>
      <c r="U111" s="142">
        <v>5</v>
      </c>
    </row>
    <row r="112" spans="6:21" s="53" customFormat="1">
      <c r="F112" s="131"/>
      <c r="G112" s="131"/>
      <c r="H112" s="131"/>
      <c r="I112" s="141">
        <v>684</v>
      </c>
      <c r="J112" s="141">
        <v>1292</v>
      </c>
      <c r="K112" s="141">
        <v>1195</v>
      </c>
      <c r="L112" s="141">
        <v>1528</v>
      </c>
      <c r="M112" s="141">
        <v>1719</v>
      </c>
      <c r="N112" s="141">
        <v>991</v>
      </c>
      <c r="O112" s="141">
        <v>1569</v>
      </c>
      <c r="P112" s="141">
        <v>1556</v>
      </c>
      <c r="Q112" s="141">
        <v>2389</v>
      </c>
      <c r="R112" s="141">
        <v>1718</v>
      </c>
      <c r="S112" s="141">
        <v>1396</v>
      </c>
      <c r="T112" s="141">
        <v>1244</v>
      </c>
      <c r="U112" s="139">
        <v>17281</v>
      </c>
    </row>
    <row r="113" spans="6:21" s="53" customFormat="1"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6:21" s="53" customFormat="1">
      <c r="F114" s="131"/>
      <c r="G114" s="131"/>
      <c r="H114" s="138" t="s">
        <v>64</v>
      </c>
      <c r="I114" s="139">
        <v>684000</v>
      </c>
      <c r="J114" s="139">
        <v>1292000</v>
      </c>
      <c r="K114" s="139">
        <v>1195000</v>
      </c>
      <c r="L114" s="139">
        <v>1528000</v>
      </c>
      <c r="M114" s="139">
        <v>1719000</v>
      </c>
      <c r="N114" s="139">
        <v>991000</v>
      </c>
      <c r="O114" s="139">
        <v>1569000</v>
      </c>
      <c r="P114" s="139">
        <v>1556000</v>
      </c>
      <c r="Q114" s="139">
        <v>2389000</v>
      </c>
      <c r="R114" s="139">
        <v>1718000</v>
      </c>
      <c r="S114" s="139">
        <v>1396000</v>
      </c>
      <c r="T114" s="139">
        <v>1244000</v>
      </c>
      <c r="U114" s="139">
        <v>17281000</v>
      </c>
    </row>
    <row r="115" spans="6:21" s="53" customFormat="1"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6:21" s="53" customFormat="1">
      <c r="F116" s="75"/>
      <c r="G116" s="75"/>
      <c r="H116" s="75"/>
      <c r="I116" s="75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5"/>
    </row>
    <row r="117" spans="6:21" s="53" customFormat="1">
      <c r="F117" s="155" t="s">
        <v>72</v>
      </c>
      <c r="G117" s="146">
        <v>2023</v>
      </c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</row>
    <row r="118" spans="6:21" s="53" customFormat="1" ht="15.75" thickBot="1">
      <c r="F118" s="148" t="s">
        <v>30</v>
      </c>
      <c r="G118" s="149" t="s">
        <v>31</v>
      </c>
      <c r="H118" s="149" t="s">
        <v>32</v>
      </c>
      <c r="I118" s="149" t="s">
        <v>33</v>
      </c>
      <c r="J118" s="149" t="s">
        <v>34</v>
      </c>
      <c r="K118" s="149" t="s">
        <v>35</v>
      </c>
      <c r="L118" s="149" t="s">
        <v>36</v>
      </c>
      <c r="M118" s="149" t="s">
        <v>37</v>
      </c>
      <c r="N118" s="149" t="s">
        <v>38</v>
      </c>
      <c r="O118" s="149" t="s">
        <v>39</v>
      </c>
      <c r="P118" s="149" t="s">
        <v>40</v>
      </c>
      <c r="Q118" s="149" t="s">
        <v>41</v>
      </c>
      <c r="R118" s="149" t="s">
        <v>42</v>
      </c>
      <c r="S118" s="149" t="s">
        <v>43</v>
      </c>
      <c r="T118" s="149" t="s">
        <v>44</v>
      </c>
      <c r="U118" s="150" t="s">
        <v>100</v>
      </c>
    </row>
    <row r="119" spans="6:21" s="53" customFormat="1">
      <c r="F119" s="145"/>
      <c r="G119" s="151">
        <v>7534810685</v>
      </c>
      <c r="H119" s="158" t="s">
        <v>45</v>
      </c>
      <c r="I119" s="154">
        <v>12</v>
      </c>
      <c r="J119" s="154">
        <v>13</v>
      </c>
      <c r="K119" s="154">
        <v>16</v>
      </c>
      <c r="L119" s="154">
        <v>14</v>
      </c>
      <c r="M119" s="154">
        <v>16</v>
      </c>
      <c r="N119" s="154">
        <v>13</v>
      </c>
      <c r="O119" s="154">
        <v>14</v>
      </c>
      <c r="P119" s="154">
        <v>13</v>
      </c>
      <c r="Q119" s="154">
        <v>18</v>
      </c>
      <c r="R119" s="154">
        <v>16</v>
      </c>
      <c r="S119" s="154">
        <v>14</v>
      </c>
      <c r="T119" s="154">
        <v>16</v>
      </c>
      <c r="U119" s="157">
        <v>175</v>
      </c>
    </row>
    <row r="120" spans="6:21" s="53" customFormat="1">
      <c r="F120" s="145"/>
      <c r="G120" s="151">
        <v>4366050935</v>
      </c>
      <c r="H120" s="158" t="s">
        <v>46</v>
      </c>
      <c r="I120" s="154">
        <v>12</v>
      </c>
      <c r="J120" s="154">
        <v>42</v>
      </c>
      <c r="K120" s="154">
        <v>48</v>
      </c>
      <c r="L120" s="154">
        <v>38</v>
      </c>
      <c r="M120" s="154">
        <v>23</v>
      </c>
      <c r="N120" s="154">
        <v>1</v>
      </c>
      <c r="O120" s="154">
        <v>0</v>
      </c>
      <c r="P120" s="154">
        <v>1</v>
      </c>
      <c r="Q120" s="154">
        <v>27</v>
      </c>
      <c r="R120" s="154">
        <v>27</v>
      </c>
      <c r="S120" s="154">
        <v>22</v>
      </c>
      <c r="T120" s="154">
        <v>34</v>
      </c>
      <c r="U120" s="157">
        <v>275</v>
      </c>
    </row>
    <row r="121" spans="6:21" s="53" customFormat="1">
      <c r="F121" s="145"/>
      <c r="G121" s="151">
        <v>6366050937</v>
      </c>
      <c r="H121" s="158" t="s">
        <v>47</v>
      </c>
      <c r="I121" s="154">
        <v>3</v>
      </c>
      <c r="J121" s="154">
        <v>20</v>
      </c>
      <c r="K121" s="154">
        <v>21</v>
      </c>
      <c r="L121" s="154">
        <v>19</v>
      </c>
      <c r="M121" s="154">
        <v>13</v>
      </c>
      <c r="N121" s="154">
        <v>12</v>
      </c>
      <c r="O121" s="154">
        <v>16</v>
      </c>
      <c r="P121" s="154">
        <v>11</v>
      </c>
      <c r="Q121" s="154">
        <v>17</v>
      </c>
      <c r="R121" s="154">
        <v>18</v>
      </c>
      <c r="S121" s="154">
        <v>19</v>
      </c>
      <c r="T121" s="154">
        <v>20</v>
      </c>
      <c r="U121" s="157">
        <v>189</v>
      </c>
    </row>
    <row r="122" spans="6:21" s="53" customFormat="1">
      <c r="F122" s="145"/>
      <c r="G122" s="151">
        <v>7366050938</v>
      </c>
      <c r="H122" s="158" t="s">
        <v>48</v>
      </c>
      <c r="I122" s="154">
        <v>65</v>
      </c>
      <c r="J122" s="154">
        <v>53</v>
      </c>
      <c r="K122" s="154">
        <v>53</v>
      </c>
      <c r="L122" s="154">
        <v>47</v>
      </c>
      <c r="M122" s="154">
        <v>41</v>
      </c>
      <c r="N122" s="154">
        <v>27</v>
      </c>
      <c r="O122" s="154">
        <v>33</v>
      </c>
      <c r="P122" s="154">
        <v>31</v>
      </c>
      <c r="Q122" s="154">
        <v>38</v>
      </c>
      <c r="R122" s="154">
        <v>56</v>
      </c>
      <c r="S122" s="154">
        <v>48</v>
      </c>
      <c r="T122" s="154">
        <v>33</v>
      </c>
      <c r="U122" s="157">
        <v>525</v>
      </c>
    </row>
    <row r="123" spans="6:21" s="53" customFormat="1">
      <c r="F123" s="145"/>
      <c r="G123" s="151">
        <v>3366050934</v>
      </c>
      <c r="H123" s="158" t="s">
        <v>49</v>
      </c>
      <c r="I123" s="154">
        <v>95</v>
      </c>
      <c r="J123" s="154">
        <v>235</v>
      </c>
      <c r="K123" s="154">
        <v>289</v>
      </c>
      <c r="L123" s="154">
        <v>335</v>
      </c>
      <c r="M123" s="154">
        <v>313</v>
      </c>
      <c r="N123" s="154">
        <v>128</v>
      </c>
      <c r="O123" s="154">
        <v>33</v>
      </c>
      <c r="P123" s="154">
        <v>24</v>
      </c>
      <c r="Q123" s="154">
        <v>80</v>
      </c>
      <c r="R123" s="154">
        <v>81</v>
      </c>
      <c r="S123" s="154">
        <v>86</v>
      </c>
      <c r="T123" s="154">
        <v>86</v>
      </c>
      <c r="U123" s="157">
        <v>1785</v>
      </c>
    </row>
    <row r="124" spans="6:21" s="53" customFormat="1">
      <c r="F124" s="145"/>
      <c r="G124" s="151">
        <v>5581150299</v>
      </c>
      <c r="H124" s="158" t="s">
        <v>50</v>
      </c>
      <c r="I124" s="154">
        <v>29</v>
      </c>
      <c r="J124" s="154">
        <v>136</v>
      </c>
      <c r="K124" s="154">
        <v>120</v>
      </c>
      <c r="L124" s="154">
        <v>137</v>
      </c>
      <c r="M124" s="154">
        <v>81</v>
      </c>
      <c r="N124" s="154">
        <v>10</v>
      </c>
      <c r="O124" s="154">
        <v>9</v>
      </c>
      <c r="P124" s="154">
        <v>20</v>
      </c>
      <c r="Q124" s="154">
        <v>126</v>
      </c>
      <c r="R124" s="154">
        <v>138</v>
      </c>
      <c r="S124" s="154">
        <v>138</v>
      </c>
      <c r="T124" s="154">
        <v>121</v>
      </c>
      <c r="U124" s="157">
        <v>1065</v>
      </c>
    </row>
    <row r="125" spans="6:21" s="53" customFormat="1">
      <c r="F125" s="145"/>
      <c r="G125" s="151">
        <v>5366050936</v>
      </c>
      <c r="H125" s="158" t="s">
        <v>51</v>
      </c>
      <c r="I125" s="154">
        <v>102</v>
      </c>
      <c r="J125" s="154">
        <v>216</v>
      </c>
      <c r="K125" s="154">
        <v>25</v>
      </c>
      <c r="L125" s="154">
        <v>21</v>
      </c>
      <c r="M125" s="154">
        <v>22</v>
      </c>
      <c r="N125" s="154">
        <v>15</v>
      </c>
      <c r="O125" s="154">
        <v>26</v>
      </c>
      <c r="P125" s="154">
        <v>15</v>
      </c>
      <c r="Q125" s="154">
        <v>36</v>
      </c>
      <c r="R125" s="154">
        <v>41</v>
      </c>
      <c r="S125" s="154">
        <v>39</v>
      </c>
      <c r="T125" s="154">
        <v>33</v>
      </c>
      <c r="U125" s="157">
        <v>591</v>
      </c>
    </row>
    <row r="126" spans="6:21" s="53" customFormat="1">
      <c r="F126" s="145"/>
      <c r="G126" s="151">
        <v>2052150585</v>
      </c>
      <c r="H126" s="158" t="s">
        <v>52</v>
      </c>
      <c r="I126" s="154">
        <v>45</v>
      </c>
      <c r="J126" s="154">
        <v>171</v>
      </c>
      <c r="K126" s="154">
        <v>221</v>
      </c>
      <c r="L126" s="154">
        <v>271</v>
      </c>
      <c r="M126" s="154">
        <v>278</v>
      </c>
      <c r="N126" s="154">
        <v>116</v>
      </c>
      <c r="O126" s="154">
        <v>194</v>
      </c>
      <c r="P126" s="154">
        <v>361</v>
      </c>
      <c r="Q126" s="154">
        <v>478</v>
      </c>
      <c r="R126" s="154">
        <v>514</v>
      </c>
      <c r="S126" s="154">
        <v>302</v>
      </c>
      <c r="T126" s="154">
        <v>267</v>
      </c>
      <c r="U126" s="157">
        <v>3218</v>
      </c>
    </row>
    <row r="127" spans="6:21" s="53" customFormat="1">
      <c r="F127" s="145"/>
      <c r="G127" s="151">
        <v>8635150066</v>
      </c>
      <c r="H127" s="158" t="s">
        <v>53</v>
      </c>
      <c r="I127" s="154">
        <v>1</v>
      </c>
      <c r="J127" s="154">
        <v>11</v>
      </c>
      <c r="K127" s="154">
        <v>6</v>
      </c>
      <c r="L127" s="154">
        <v>9</v>
      </c>
      <c r="M127" s="154">
        <v>10</v>
      </c>
      <c r="N127" s="154">
        <v>8</v>
      </c>
      <c r="O127" s="154">
        <v>3</v>
      </c>
      <c r="P127" s="154">
        <v>4</v>
      </c>
      <c r="Q127" s="154">
        <v>29</v>
      </c>
      <c r="R127" s="154">
        <v>20</v>
      </c>
      <c r="S127" s="154">
        <v>3</v>
      </c>
      <c r="T127" s="154">
        <v>3</v>
      </c>
      <c r="U127" s="157">
        <v>107</v>
      </c>
    </row>
    <row r="128" spans="6:21" s="53" customFormat="1">
      <c r="F128" s="145"/>
      <c r="G128" s="152">
        <v>6663150208</v>
      </c>
      <c r="H128" s="158" t="s">
        <v>54</v>
      </c>
      <c r="I128" s="154">
        <v>26</v>
      </c>
      <c r="J128" s="154">
        <v>20</v>
      </c>
      <c r="K128" s="154">
        <v>22</v>
      </c>
      <c r="L128" s="154">
        <v>21</v>
      </c>
      <c r="M128" s="154">
        <v>18</v>
      </c>
      <c r="N128" s="154">
        <v>10</v>
      </c>
      <c r="O128" s="154">
        <v>9</v>
      </c>
      <c r="P128" s="154">
        <v>17</v>
      </c>
      <c r="Q128" s="154">
        <v>21</v>
      </c>
      <c r="R128" s="154">
        <v>36</v>
      </c>
      <c r="S128" s="154">
        <v>23</v>
      </c>
      <c r="T128" s="154">
        <v>21</v>
      </c>
      <c r="U128" s="157">
        <v>244</v>
      </c>
    </row>
    <row r="129" spans="6:21" s="53" customFormat="1">
      <c r="F129" s="145"/>
      <c r="G129" s="151">
        <v>6068150813</v>
      </c>
      <c r="H129" s="158" t="s">
        <v>55</v>
      </c>
      <c r="I129" s="154">
        <v>6</v>
      </c>
      <c r="J129" s="154">
        <v>24</v>
      </c>
      <c r="K129" s="154">
        <v>20</v>
      </c>
      <c r="L129" s="154">
        <v>32</v>
      </c>
      <c r="M129" s="154">
        <v>104</v>
      </c>
      <c r="N129" s="154">
        <v>72</v>
      </c>
      <c r="O129" s="154">
        <v>112</v>
      </c>
      <c r="P129" s="154">
        <v>220</v>
      </c>
      <c r="Q129" s="154">
        <v>224</v>
      </c>
      <c r="R129" s="154">
        <v>196</v>
      </c>
      <c r="S129" s="154">
        <v>27</v>
      </c>
      <c r="T129" s="154">
        <v>19</v>
      </c>
      <c r="U129" s="157">
        <v>1056</v>
      </c>
    </row>
    <row r="130" spans="6:21" s="53" customFormat="1">
      <c r="F130" s="145"/>
      <c r="G130" s="152">
        <v>5068150812</v>
      </c>
      <c r="H130" s="158" t="s">
        <v>56</v>
      </c>
      <c r="I130" s="154">
        <v>7</v>
      </c>
      <c r="J130" s="154">
        <v>18</v>
      </c>
      <c r="K130" s="154">
        <v>10</v>
      </c>
      <c r="L130" s="154">
        <v>11</v>
      </c>
      <c r="M130" s="154">
        <v>8</v>
      </c>
      <c r="N130" s="154">
        <v>6</v>
      </c>
      <c r="O130" s="154">
        <v>2</v>
      </c>
      <c r="P130" s="154">
        <v>7</v>
      </c>
      <c r="Q130" s="154">
        <v>10</v>
      </c>
      <c r="R130" s="154">
        <v>11</v>
      </c>
      <c r="S130" s="154">
        <v>11</v>
      </c>
      <c r="T130" s="154">
        <v>11</v>
      </c>
      <c r="U130" s="157">
        <v>112</v>
      </c>
    </row>
    <row r="131" spans="6:21" s="53" customFormat="1">
      <c r="F131" s="145"/>
      <c r="G131" s="152">
        <v>2364150700</v>
      </c>
      <c r="H131" s="158" t="s">
        <v>57</v>
      </c>
      <c r="I131" s="154">
        <v>30</v>
      </c>
      <c r="J131" s="154">
        <v>50</v>
      </c>
      <c r="K131" s="154">
        <v>58</v>
      </c>
      <c r="L131" s="154">
        <v>45</v>
      </c>
      <c r="M131" s="154">
        <v>51</v>
      </c>
      <c r="N131" s="154">
        <v>39</v>
      </c>
      <c r="O131" s="154">
        <v>51</v>
      </c>
      <c r="P131" s="154">
        <v>53</v>
      </c>
      <c r="Q131" s="154">
        <v>77</v>
      </c>
      <c r="R131" s="154">
        <v>58</v>
      </c>
      <c r="S131" s="154">
        <v>60</v>
      </c>
      <c r="T131" s="154">
        <v>40</v>
      </c>
      <c r="U131" s="157">
        <v>612</v>
      </c>
    </row>
    <row r="132" spans="6:21" s="53" customFormat="1">
      <c r="F132" s="145"/>
      <c r="G132" s="152">
        <v>1364150699</v>
      </c>
      <c r="H132" s="158" t="s">
        <v>58</v>
      </c>
      <c r="I132" s="154">
        <v>13</v>
      </c>
      <c r="J132" s="154">
        <v>96</v>
      </c>
      <c r="K132" s="154">
        <v>49</v>
      </c>
      <c r="L132" s="154">
        <v>49</v>
      </c>
      <c r="M132" s="154">
        <v>29</v>
      </c>
      <c r="N132" s="154">
        <v>6</v>
      </c>
      <c r="O132" s="154">
        <v>44</v>
      </c>
      <c r="P132" s="154">
        <v>107</v>
      </c>
      <c r="Q132" s="154">
        <v>149</v>
      </c>
      <c r="R132" s="154">
        <v>142</v>
      </c>
      <c r="S132" s="154">
        <v>86</v>
      </c>
      <c r="T132" s="154">
        <v>65</v>
      </c>
      <c r="U132" s="157">
        <v>835</v>
      </c>
    </row>
    <row r="133" spans="6:21" s="53" customFormat="1">
      <c r="F133" s="145"/>
      <c r="G133" s="151">
        <v>2068150809</v>
      </c>
      <c r="H133" s="158" t="s">
        <v>59</v>
      </c>
      <c r="I133" s="154">
        <v>1</v>
      </c>
      <c r="J133" s="154">
        <v>1</v>
      </c>
      <c r="K133" s="154">
        <v>7</v>
      </c>
      <c r="L133" s="154">
        <v>2</v>
      </c>
      <c r="M133" s="154">
        <v>2</v>
      </c>
      <c r="N133" s="154">
        <v>0</v>
      </c>
      <c r="O133" s="154">
        <v>1</v>
      </c>
      <c r="P133" s="154">
        <v>1</v>
      </c>
      <c r="Q133" s="154">
        <v>2</v>
      </c>
      <c r="R133" s="154">
        <v>1</v>
      </c>
      <c r="S133" s="154">
        <v>1</v>
      </c>
      <c r="T133" s="154">
        <v>2</v>
      </c>
      <c r="U133" s="157">
        <v>21</v>
      </c>
    </row>
    <row r="134" spans="6:21" s="53" customFormat="1">
      <c r="F134" s="145"/>
      <c r="G134" s="151">
        <v>5756250297</v>
      </c>
      <c r="H134" s="158" t="s">
        <v>60</v>
      </c>
      <c r="I134" s="152">
        <v>165</v>
      </c>
      <c r="J134" s="152">
        <v>323</v>
      </c>
      <c r="K134" s="152">
        <v>328</v>
      </c>
      <c r="L134" s="152">
        <v>451</v>
      </c>
      <c r="M134" s="152">
        <v>421</v>
      </c>
      <c r="N134" s="152">
        <v>321</v>
      </c>
      <c r="O134" s="152">
        <v>360</v>
      </c>
      <c r="P134" s="152">
        <v>534</v>
      </c>
      <c r="Q134" s="152">
        <v>682</v>
      </c>
      <c r="R134" s="152">
        <v>498</v>
      </c>
      <c r="S134" s="152">
        <v>373</v>
      </c>
      <c r="T134" s="152">
        <v>313</v>
      </c>
      <c r="U134" s="157">
        <v>4769</v>
      </c>
    </row>
    <row r="135" spans="6:21" s="53" customFormat="1">
      <c r="F135" s="145"/>
      <c r="G135" s="152">
        <v>1665911804</v>
      </c>
      <c r="H135" s="158" t="s">
        <v>61</v>
      </c>
      <c r="I135" s="154">
        <v>7</v>
      </c>
      <c r="J135" s="154">
        <v>17</v>
      </c>
      <c r="K135" s="154">
        <v>14</v>
      </c>
      <c r="L135" s="154">
        <v>16</v>
      </c>
      <c r="M135" s="154">
        <v>10</v>
      </c>
      <c r="N135" s="154">
        <v>8</v>
      </c>
      <c r="O135" s="154">
        <v>17</v>
      </c>
      <c r="P135" s="154">
        <v>23</v>
      </c>
      <c r="Q135" s="154">
        <v>3</v>
      </c>
      <c r="R135" s="154">
        <v>4</v>
      </c>
      <c r="S135" s="154">
        <v>3</v>
      </c>
      <c r="T135" s="154">
        <v>4</v>
      </c>
      <c r="U135" s="157">
        <v>126</v>
      </c>
    </row>
    <row r="136" spans="6:21" s="53" customFormat="1">
      <c r="F136" s="145"/>
      <c r="G136" s="152">
        <v>3054467971</v>
      </c>
      <c r="H136" s="158" t="s">
        <v>62</v>
      </c>
      <c r="I136" s="154">
        <v>15</v>
      </c>
      <c r="J136" s="154">
        <v>27</v>
      </c>
      <c r="K136" s="154">
        <v>28</v>
      </c>
      <c r="L136" s="154">
        <v>29</v>
      </c>
      <c r="M136" s="154">
        <v>29</v>
      </c>
      <c r="N136" s="154">
        <v>22</v>
      </c>
      <c r="O136" s="154">
        <v>27</v>
      </c>
      <c r="P136" s="154">
        <v>25</v>
      </c>
      <c r="Q136" s="154">
        <v>36</v>
      </c>
      <c r="R136" s="154">
        <v>34</v>
      </c>
      <c r="S136" s="154">
        <v>30</v>
      </c>
      <c r="T136" s="154">
        <v>30</v>
      </c>
      <c r="U136" s="157">
        <v>332</v>
      </c>
    </row>
    <row r="137" spans="6:21" s="53" customFormat="1">
      <c r="F137" s="145"/>
      <c r="G137" s="152">
        <v>3380811569</v>
      </c>
      <c r="H137" s="158" t="s">
        <v>63</v>
      </c>
      <c r="I137" s="154">
        <v>0</v>
      </c>
      <c r="J137" s="154">
        <v>1</v>
      </c>
      <c r="K137" s="154">
        <v>1</v>
      </c>
      <c r="L137" s="154">
        <v>0</v>
      </c>
      <c r="M137" s="154">
        <v>1</v>
      </c>
      <c r="N137" s="154">
        <v>0</v>
      </c>
      <c r="O137" s="154">
        <v>1</v>
      </c>
      <c r="P137" s="154">
        <v>0</v>
      </c>
      <c r="Q137" s="154">
        <v>1</v>
      </c>
      <c r="R137" s="154">
        <v>2</v>
      </c>
      <c r="S137" s="154">
        <v>1</v>
      </c>
      <c r="T137" s="154">
        <v>1</v>
      </c>
      <c r="U137" s="157">
        <v>9</v>
      </c>
    </row>
    <row r="138" spans="6:21" s="53" customFormat="1">
      <c r="F138" s="145"/>
      <c r="G138" s="147"/>
      <c r="H138" s="147"/>
      <c r="I138" s="156">
        <v>634</v>
      </c>
      <c r="J138" s="156">
        <v>1474</v>
      </c>
      <c r="K138" s="156">
        <v>1336</v>
      </c>
      <c r="L138" s="156">
        <v>1547</v>
      </c>
      <c r="M138" s="156">
        <v>1470</v>
      </c>
      <c r="N138" s="156">
        <v>814</v>
      </c>
      <c r="O138" s="156">
        <v>952</v>
      </c>
      <c r="P138" s="156">
        <v>1467</v>
      </c>
      <c r="Q138" s="156">
        <v>2054</v>
      </c>
      <c r="R138" s="156">
        <v>1893</v>
      </c>
      <c r="S138" s="156">
        <v>1286</v>
      </c>
      <c r="T138" s="156">
        <v>1119</v>
      </c>
      <c r="U138" s="154">
        <v>16046</v>
      </c>
    </row>
    <row r="139" spans="6:21" s="53" customFormat="1">
      <c r="F139" s="145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</row>
    <row r="140" spans="6:21" s="53" customFormat="1">
      <c r="F140" s="145"/>
      <c r="G140" s="147"/>
      <c r="H140" s="153" t="s">
        <v>64</v>
      </c>
      <c r="I140" s="154">
        <v>634000</v>
      </c>
      <c r="J140" s="154">
        <v>1474000</v>
      </c>
      <c r="K140" s="154">
        <v>1336000</v>
      </c>
      <c r="L140" s="154">
        <v>1547000</v>
      </c>
      <c r="M140" s="154">
        <v>1470000</v>
      </c>
      <c r="N140" s="154">
        <v>814000</v>
      </c>
      <c r="O140" s="154">
        <v>952000</v>
      </c>
      <c r="P140" s="154">
        <v>1467000</v>
      </c>
      <c r="Q140" s="154">
        <v>2054000</v>
      </c>
      <c r="R140" s="154">
        <v>1893000</v>
      </c>
      <c r="S140" s="154">
        <v>1286000</v>
      </c>
      <c r="T140" s="154">
        <v>1119000</v>
      </c>
      <c r="U140" s="154">
        <v>16046000</v>
      </c>
    </row>
    <row r="141" spans="6:21" s="53" customFormat="1"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6:21" s="53" customFormat="1">
      <c r="F142" s="75"/>
      <c r="G142" s="75"/>
      <c r="H142" s="75"/>
      <c r="I142" s="75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5"/>
    </row>
    <row r="143" spans="6:21">
      <c r="F143" s="54" t="s">
        <v>72</v>
      </c>
      <c r="G143" s="56">
        <v>2024</v>
      </c>
    </row>
    <row r="144" spans="6:21" ht="15.75" thickBot="1">
      <c r="F144" s="55" t="s">
        <v>30</v>
      </c>
      <c r="G144" s="18" t="s">
        <v>31</v>
      </c>
      <c r="H144" s="19" t="s">
        <v>32</v>
      </c>
      <c r="I144" s="20" t="s">
        <v>33</v>
      </c>
      <c r="J144" s="21" t="s">
        <v>34</v>
      </c>
      <c r="K144" s="22" t="s">
        <v>35</v>
      </c>
      <c r="L144" s="22" t="s">
        <v>36</v>
      </c>
      <c r="M144" s="22" t="s">
        <v>37</v>
      </c>
      <c r="N144" s="22" t="s">
        <v>38</v>
      </c>
      <c r="O144" s="22" t="s">
        <v>39</v>
      </c>
      <c r="P144" s="22" t="s">
        <v>40</v>
      </c>
      <c r="Q144" s="22" t="s">
        <v>41</v>
      </c>
      <c r="R144" s="22" t="s">
        <v>42</v>
      </c>
      <c r="S144" s="22" t="s">
        <v>43</v>
      </c>
      <c r="T144" s="22" t="s">
        <v>44</v>
      </c>
      <c r="U144" s="77" t="s">
        <v>100</v>
      </c>
    </row>
    <row r="145" spans="6:21">
      <c r="G145" s="23">
        <v>7534810685</v>
      </c>
      <c r="H145" s="26" t="s">
        <v>45</v>
      </c>
      <c r="I145" s="27">
        <v>11</v>
      </c>
      <c r="J145" s="29">
        <v>18</v>
      </c>
      <c r="K145" s="31">
        <v>20</v>
      </c>
      <c r="L145" s="33">
        <v>19</v>
      </c>
      <c r="M145" s="35">
        <v>14</v>
      </c>
      <c r="N145" s="37">
        <v>15</v>
      </c>
      <c r="O145" s="39">
        <v>11</v>
      </c>
      <c r="P145" s="41">
        <v>11</v>
      </c>
      <c r="Q145" s="43">
        <v>16</v>
      </c>
      <c r="R145" s="45">
        <v>10</v>
      </c>
      <c r="S145" s="47">
        <v>9</v>
      </c>
      <c r="T145" s="49">
        <v>8</v>
      </c>
      <c r="U145" s="78">
        <f>SUM(I145:T145)</f>
        <v>162</v>
      </c>
    </row>
    <row r="146" spans="6:21">
      <c r="G146" s="23">
        <v>4366050935</v>
      </c>
      <c r="H146" s="26" t="s">
        <v>46</v>
      </c>
      <c r="I146" s="27">
        <v>3</v>
      </c>
      <c r="J146" s="29">
        <v>23</v>
      </c>
      <c r="K146" s="31">
        <v>24</v>
      </c>
      <c r="L146" s="33">
        <v>23</v>
      </c>
      <c r="M146" s="35">
        <v>24</v>
      </c>
      <c r="N146" s="37">
        <v>17</v>
      </c>
      <c r="O146" s="39">
        <v>36</v>
      </c>
      <c r="P146" s="41">
        <v>15</v>
      </c>
      <c r="Q146" s="43">
        <v>47</v>
      </c>
      <c r="R146" s="45">
        <v>47</v>
      </c>
      <c r="S146" s="47">
        <v>48</v>
      </c>
      <c r="T146" s="49">
        <v>108</v>
      </c>
      <c r="U146" s="78">
        <f t="shared" ref="U146:U164" si="2">SUM(I146:T146)</f>
        <v>415</v>
      </c>
    </row>
    <row r="147" spans="6:21">
      <c r="G147" s="23">
        <v>6366050937</v>
      </c>
      <c r="H147" s="26" t="s">
        <v>47</v>
      </c>
      <c r="I147" s="27">
        <v>0</v>
      </c>
      <c r="J147" s="29">
        <v>12</v>
      </c>
      <c r="K147" s="31">
        <v>13</v>
      </c>
      <c r="L147" s="33">
        <v>13</v>
      </c>
      <c r="M147" s="35">
        <v>13</v>
      </c>
      <c r="N147" s="37">
        <v>64</v>
      </c>
      <c r="O147" s="39">
        <v>0</v>
      </c>
      <c r="P147" s="41">
        <v>1</v>
      </c>
      <c r="Q147" s="43">
        <v>15</v>
      </c>
      <c r="R147" s="45">
        <v>48</v>
      </c>
      <c r="S147" s="47">
        <v>22</v>
      </c>
      <c r="T147" s="49">
        <v>20</v>
      </c>
      <c r="U147" s="78">
        <f t="shared" si="2"/>
        <v>221</v>
      </c>
    </row>
    <row r="148" spans="6:21">
      <c r="G148" s="23">
        <v>7366050938</v>
      </c>
      <c r="H148" s="26" t="s">
        <v>48</v>
      </c>
      <c r="I148" s="27">
        <v>16</v>
      </c>
      <c r="J148" s="29">
        <v>29</v>
      </c>
      <c r="K148" s="31">
        <v>26</v>
      </c>
      <c r="L148" s="33">
        <v>42</v>
      </c>
      <c r="M148" s="35">
        <v>56</v>
      </c>
      <c r="N148" s="37">
        <v>13</v>
      </c>
      <c r="O148" s="39">
        <v>19</v>
      </c>
      <c r="P148" s="41">
        <v>40</v>
      </c>
      <c r="Q148" s="43">
        <v>40</v>
      </c>
      <c r="R148" s="45">
        <v>25</v>
      </c>
      <c r="S148" s="47">
        <v>36</v>
      </c>
      <c r="T148" s="49">
        <v>41</v>
      </c>
      <c r="U148" s="78">
        <f t="shared" si="2"/>
        <v>383</v>
      </c>
    </row>
    <row r="149" spans="6:21">
      <c r="G149" s="23">
        <v>3366050934</v>
      </c>
      <c r="H149" s="26" t="s">
        <v>49</v>
      </c>
      <c r="I149" s="27">
        <v>37</v>
      </c>
      <c r="J149" s="29">
        <v>98</v>
      </c>
      <c r="K149" s="31">
        <v>80</v>
      </c>
      <c r="L149" s="33">
        <v>87</v>
      </c>
      <c r="M149" s="35">
        <v>78</v>
      </c>
      <c r="N149" s="37">
        <v>23</v>
      </c>
      <c r="O149" s="39">
        <v>15</v>
      </c>
      <c r="P149" s="41">
        <v>18</v>
      </c>
      <c r="Q149" s="43">
        <v>63</v>
      </c>
      <c r="R149" s="45">
        <v>99</v>
      </c>
      <c r="S149" s="47">
        <v>216</v>
      </c>
      <c r="T149" s="49">
        <v>96</v>
      </c>
      <c r="U149" s="78">
        <f t="shared" si="2"/>
        <v>910</v>
      </c>
    </row>
    <row r="150" spans="6:21">
      <c r="G150" s="24">
        <v>5581150299</v>
      </c>
      <c r="H150" s="26" t="s">
        <v>50</v>
      </c>
      <c r="I150" s="27">
        <v>7</v>
      </c>
      <c r="J150" s="29">
        <v>186</v>
      </c>
      <c r="K150" s="31">
        <v>206</v>
      </c>
      <c r="L150" s="33">
        <v>278</v>
      </c>
      <c r="M150" s="35">
        <v>223</v>
      </c>
      <c r="N150" s="37">
        <v>128</v>
      </c>
      <c r="O150" s="39">
        <v>64</v>
      </c>
      <c r="P150" s="41">
        <v>10</v>
      </c>
      <c r="Q150" s="43">
        <v>122</v>
      </c>
      <c r="R150" s="45">
        <v>144</v>
      </c>
      <c r="S150" s="47">
        <v>153</v>
      </c>
      <c r="T150" s="49">
        <v>139</v>
      </c>
      <c r="U150" s="78">
        <f t="shared" si="2"/>
        <v>1660</v>
      </c>
    </row>
    <row r="151" spans="6:21">
      <c r="G151" s="24">
        <v>5366050936</v>
      </c>
      <c r="H151" s="26" t="s">
        <v>51</v>
      </c>
      <c r="I151" s="27">
        <v>7</v>
      </c>
      <c r="J151" s="29">
        <v>36</v>
      </c>
      <c r="K151" s="31">
        <v>37</v>
      </c>
      <c r="L151" s="33">
        <v>34</v>
      </c>
      <c r="M151" s="35">
        <v>39</v>
      </c>
      <c r="N151" s="37">
        <v>11</v>
      </c>
      <c r="O151" s="39">
        <v>15</v>
      </c>
      <c r="P151" s="41">
        <v>61</v>
      </c>
      <c r="Q151" s="43">
        <v>82</v>
      </c>
      <c r="R151" s="45">
        <v>30</v>
      </c>
      <c r="S151" s="47">
        <v>90</v>
      </c>
      <c r="T151" s="49">
        <v>152</v>
      </c>
      <c r="U151" s="78">
        <f t="shared" si="2"/>
        <v>594</v>
      </c>
    </row>
    <row r="152" spans="6:21">
      <c r="F152" s="53"/>
      <c r="G152" s="24">
        <v>2052150585</v>
      </c>
      <c r="H152" s="26" t="s">
        <v>52</v>
      </c>
      <c r="I152" s="27">
        <v>122</v>
      </c>
      <c r="J152" s="29">
        <v>216</v>
      </c>
      <c r="K152" s="31">
        <v>156</v>
      </c>
      <c r="L152" s="33">
        <v>165</v>
      </c>
      <c r="M152" s="35">
        <v>220</v>
      </c>
      <c r="N152" s="37">
        <v>282</v>
      </c>
      <c r="O152" s="39">
        <v>419</v>
      </c>
      <c r="P152" s="41">
        <v>403</v>
      </c>
      <c r="Q152" s="43">
        <v>438</v>
      </c>
      <c r="R152" s="45">
        <v>383</v>
      </c>
      <c r="S152" s="47">
        <v>193</v>
      </c>
      <c r="T152" s="49">
        <v>112</v>
      </c>
      <c r="U152" s="78">
        <f t="shared" si="2"/>
        <v>3109</v>
      </c>
    </row>
    <row r="153" spans="6:21">
      <c r="G153" s="24">
        <v>8635150066</v>
      </c>
      <c r="H153" s="26" t="s">
        <v>53</v>
      </c>
      <c r="I153" s="27">
        <v>3</v>
      </c>
      <c r="J153" s="29">
        <v>17</v>
      </c>
      <c r="K153" s="31">
        <v>7</v>
      </c>
      <c r="L153" s="33">
        <v>4</v>
      </c>
      <c r="M153" s="35">
        <v>4</v>
      </c>
      <c r="N153" s="37">
        <v>0</v>
      </c>
      <c r="O153" s="39">
        <v>2</v>
      </c>
      <c r="P153" s="41">
        <v>1</v>
      </c>
      <c r="Q153" s="43">
        <v>3</v>
      </c>
      <c r="R153" s="45">
        <v>7</v>
      </c>
      <c r="S153" s="47">
        <v>9</v>
      </c>
      <c r="T153" s="49">
        <v>7</v>
      </c>
      <c r="U153" s="78">
        <f t="shared" si="2"/>
        <v>64</v>
      </c>
    </row>
    <row r="154" spans="6:21">
      <c r="G154" s="25">
        <v>6663150208</v>
      </c>
      <c r="H154" s="26" t="s">
        <v>54</v>
      </c>
      <c r="I154" s="27">
        <v>4</v>
      </c>
      <c r="J154" s="29">
        <v>13</v>
      </c>
      <c r="K154" s="31">
        <v>15</v>
      </c>
      <c r="L154" s="33">
        <v>15</v>
      </c>
      <c r="M154" s="35">
        <v>21</v>
      </c>
      <c r="N154" s="37">
        <v>8</v>
      </c>
      <c r="O154" s="39">
        <v>6</v>
      </c>
      <c r="P154" s="41">
        <v>8</v>
      </c>
      <c r="Q154" s="43">
        <v>14</v>
      </c>
      <c r="R154" s="45">
        <v>27</v>
      </c>
      <c r="S154" s="47">
        <v>22</v>
      </c>
      <c r="T154" s="49">
        <v>18</v>
      </c>
      <c r="U154" s="78">
        <f t="shared" si="2"/>
        <v>171</v>
      </c>
    </row>
    <row r="155" spans="6:21">
      <c r="G155" s="24">
        <v>6068150813</v>
      </c>
      <c r="H155" s="26" t="s">
        <v>55</v>
      </c>
      <c r="I155" s="27">
        <v>32</v>
      </c>
      <c r="J155" s="29">
        <v>26</v>
      </c>
      <c r="K155" s="31">
        <v>19</v>
      </c>
      <c r="L155" s="33">
        <v>19</v>
      </c>
      <c r="M155" s="35">
        <v>55</v>
      </c>
      <c r="N155" s="37">
        <v>176</v>
      </c>
      <c r="O155" s="39">
        <v>269</v>
      </c>
      <c r="P155" s="41">
        <v>218</v>
      </c>
      <c r="Q155" s="43">
        <v>255</v>
      </c>
      <c r="R155" s="45">
        <v>173</v>
      </c>
      <c r="S155" s="47">
        <v>77</v>
      </c>
      <c r="T155" s="49">
        <v>15</v>
      </c>
      <c r="U155" s="78">
        <f t="shared" si="2"/>
        <v>1334</v>
      </c>
    </row>
    <row r="156" spans="6:21">
      <c r="G156" s="25">
        <v>5068150812</v>
      </c>
      <c r="H156" s="26" t="s">
        <v>56</v>
      </c>
      <c r="I156" s="27">
        <v>5</v>
      </c>
      <c r="J156" s="29">
        <v>12</v>
      </c>
      <c r="K156" s="31">
        <v>12</v>
      </c>
      <c r="L156" s="33">
        <v>12</v>
      </c>
      <c r="M156" s="35">
        <v>12</v>
      </c>
      <c r="N156" s="37">
        <v>6</v>
      </c>
      <c r="O156" s="39">
        <v>4</v>
      </c>
      <c r="P156" s="41">
        <v>6</v>
      </c>
      <c r="Q156" s="43">
        <v>7</v>
      </c>
      <c r="R156" s="45">
        <v>9</v>
      </c>
      <c r="S156" s="47">
        <v>21</v>
      </c>
      <c r="T156" s="49">
        <v>9</v>
      </c>
      <c r="U156" s="78">
        <f t="shared" si="2"/>
        <v>115</v>
      </c>
    </row>
    <row r="157" spans="6:21">
      <c r="G157" s="25">
        <v>2364150700</v>
      </c>
      <c r="H157" s="26" t="s">
        <v>57</v>
      </c>
      <c r="I157" s="27">
        <v>19</v>
      </c>
      <c r="J157" s="29">
        <v>40</v>
      </c>
      <c r="K157" s="31">
        <v>51</v>
      </c>
      <c r="L157" s="33">
        <v>29</v>
      </c>
      <c r="M157" s="35">
        <v>30</v>
      </c>
      <c r="N157" s="37">
        <v>37</v>
      </c>
      <c r="O157" s="39">
        <v>32</v>
      </c>
      <c r="P157" s="41">
        <v>36</v>
      </c>
      <c r="Q157" s="43">
        <v>56</v>
      </c>
      <c r="R157" s="45">
        <v>59</v>
      </c>
      <c r="S157" s="47">
        <v>51</v>
      </c>
      <c r="T157" s="49">
        <v>25</v>
      </c>
      <c r="U157" s="78">
        <f t="shared" si="2"/>
        <v>465</v>
      </c>
    </row>
    <row r="158" spans="6:21">
      <c r="G158" s="25">
        <v>1364150699</v>
      </c>
      <c r="H158" s="26" t="s">
        <v>58</v>
      </c>
      <c r="I158" s="27">
        <v>9</v>
      </c>
      <c r="J158" s="29">
        <v>79</v>
      </c>
      <c r="K158" s="31">
        <v>74</v>
      </c>
      <c r="L158" s="33">
        <v>93</v>
      </c>
      <c r="M158" s="35">
        <v>83</v>
      </c>
      <c r="N158" s="37">
        <v>11</v>
      </c>
      <c r="O158" s="39">
        <v>12</v>
      </c>
      <c r="P158" s="41">
        <v>95</v>
      </c>
      <c r="Q158" s="43">
        <v>129</v>
      </c>
      <c r="R158" s="45">
        <v>126</v>
      </c>
      <c r="S158" s="47">
        <v>76</v>
      </c>
      <c r="T158" s="49">
        <v>51</v>
      </c>
      <c r="U158" s="78">
        <f t="shared" si="2"/>
        <v>838</v>
      </c>
    </row>
    <row r="159" spans="6:21">
      <c r="G159" s="24">
        <v>2068150809</v>
      </c>
      <c r="H159" s="26" t="s">
        <v>59</v>
      </c>
      <c r="I159" s="27">
        <v>0</v>
      </c>
      <c r="J159" s="29">
        <v>2</v>
      </c>
      <c r="K159" s="31">
        <v>2</v>
      </c>
      <c r="L159" s="33">
        <v>1</v>
      </c>
      <c r="M159" s="35">
        <v>2</v>
      </c>
      <c r="N159" s="37">
        <v>1</v>
      </c>
      <c r="O159" s="39">
        <v>1</v>
      </c>
      <c r="P159" s="41">
        <v>1</v>
      </c>
      <c r="Q159" s="43">
        <v>1</v>
      </c>
      <c r="R159" s="45">
        <v>2</v>
      </c>
      <c r="S159" s="47">
        <v>1</v>
      </c>
      <c r="T159" s="49">
        <v>1</v>
      </c>
      <c r="U159" s="78">
        <f t="shared" si="2"/>
        <v>15</v>
      </c>
    </row>
    <row r="160" spans="6:21">
      <c r="G160" s="24">
        <v>5756250297</v>
      </c>
      <c r="H160" s="26" t="s">
        <v>60</v>
      </c>
      <c r="I160" s="27">
        <v>1</v>
      </c>
      <c r="J160" s="29">
        <v>3</v>
      </c>
      <c r="K160" s="31">
        <v>3</v>
      </c>
      <c r="L160" s="33">
        <v>3</v>
      </c>
      <c r="M160" s="35">
        <v>8</v>
      </c>
      <c r="N160" s="37">
        <v>2</v>
      </c>
      <c r="O160" s="39">
        <v>5</v>
      </c>
      <c r="P160" s="41">
        <v>3</v>
      </c>
      <c r="Q160" s="43">
        <v>3</v>
      </c>
      <c r="R160" s="45">
        <v>3</v>
      </c>
      <c r="S160" s="47">
        <v>3</v>
      </c>
      <c r="T160" s="49">
        <v>3</v>
      </c>
      <c r="U160" s="78">
        <f t="shared" si="2"/>
        <v>40</v>
      </c>
    </row>
    <row r="161" spans="6:22">
      <c r="G161" s="25">
        <v>1665911804</v>
      </c>
      <c r="H161" s="26" t="s">
        <v>61</v>
      </c>
      <c r="I161" s="27">
        <v>94</v>
      </c>
      <c r="J161" s="29">
        <v>274</v>
      </c>
      <c r="K161" s="31">
        <v>301</v>
      </c>
      <c r="L161" s="33">
        <v>315</v>
      </c>
      <c r="M161" s="35">
        <v>345</v>
      </c>
      <c r="N161" s="37">
        <v>377</v>
      </c>
      <c r="O161" s="39">
        <v>475</v>
      </c>
      <c r="P161" s="41">
        <v>595</v>
      </c>
      <c r="Q161" s="43">
        <v>701</v>
      </c>
      <c r="R161" s="45">
        <v>650</v>
      </c>
      <c r="S161" s="47">
        <v>457</v>
      </c>
      <c r="T161" s="49">
        <v>366</v>
      </c>
      <c r="U161" s="78">
        <f t="shared" si="2"/>
        <v>4950</v>
      </c>
    </row>
    <row r="162" spans="6:22">
      <c r="G162" s="25">
        <v>3054467971</v>
      </c>
      <c r="H162" s="26" t="s">
        <v>62</v>
      </c>
      <c r="I162" s="27">
        <v>14</v>
      </c>
      <c r="J162" s="29">
        <v>29</v>
      </c>
      <c r="K162" s="31">
        <v>29</v>
      </c>
      <c r="L162" s="33">
        <v>29</v>
      </c>
      <c r="M162" s="35">
        <v>38</v>
      </c>
      <c r="N162" s="37">
        <v>37</v>
      </c>
      <c r="O162" s="39">
        <v>19</v>
      </c>
      <c r="P162" s="41">
        <v>21</v>
      </c>
      <c r="Q162" s="43">
        <v>28</v>
      </c>
      <c r="R162" s="45">
        <v>30</v>
      </c>
      <c r="S162" s="47">
        <v>29</v>
      </c>
      <c r="T162" s="49">
        <v>23</v>
      </c>
      <c r="U162" s="78">
        <f t="shared" si="2"/>
        <v>326</v>
      </c>
    </row>
    <row r="163" spans="6:22">
      <c r="G163" s="25">
        <v>3380811569</v>
      </c>
      <c r="H163" s="26" t="s">
        <v>63</v>
      </c>
      <c r="I163" s="27">
        <v>0</v>
      </c>
      <c r="J163" s="29">
        <v>1</v>
      </c>
      <c r="K163" s="31">
        <v>1</v>
      </c>
      <c r="L163" s="33">
        <v>0</v>
      </c>
      <c r="M163" s="35">
        <v>1</v>
      </c>
      <c r="N163" s="37">
        <v>1</v>
      </c>
      <c r="O163" s="39">
        <v>1</v>
      </c>
      <c r="P163" s="41">
        <v>1</v>
      </c>
      <c r="Q163" s="43">
        <v>0</v>
      </c>
      <c r="R163" s="45">
        <v>2</v>
      </c>
      <c r="S163" s="47">
        <v>1</v>
      </c>
      <c r="T163" s="49">
        <v>1</v>
      </c>
      <c r="U163" s="78">
        <f t="shared" si="2"/>
        <v>10</v>
      </c>
    </row>
    <row r="164" spans="6:22">
      <c r="I164" s="28">
        <v>384</v>
      </c>
      <c r="J164" s="30">
        <v>1114</v>
      </c>
      <c r="K164" s="32">
        <v>1076</v>
      </c>
      <c r="L164" s="34">
        <v>1181</v>
      </c>
      <c r="M164" s="36">
        <v>1266</v>
      </c>
      <c r="N164" s="38">
        <v>1209</v>
      </c>
      <c r="O164" s="40">
        <v>1405</v>
      </c>
      <c r="P164" s="42">
        <v>1544</v>
      </c>
      <c r="Q164" s="44">
        <v>2020</v>
      </c>
      <c r="R164" s="46">
        <v>1874</v>
      </c>
      <c r="S164" s="48">
        <v>1514</v>
      </c>
      <c r="T164" s="50">
        <v>1195</v>
      </c>
      <c r="U164" s="78">
        <f t="shared" si="2"/>
        <v>15782</v>
      </c>
    </row>
    <row r="165" spans="6:22">
      <c r="U165" s="76"/>
    </row>
    <row r="166" spans="6:22">
      <c r="H166" s="51" t="s">
        <v>64</v>
      </c>
      <c r="I166" s="52">
        <f>I164*1000</f>
        <v>384000</v>
      </c>
      <c r="J166" s="52">
        <f t="shared" ref="J166:T166" si="3">J164*1000</f>
        <v>1114000</v>
      </c>
      <c r="K166" s="52">
        <f t="shared" si="3"/>
        <v>1076000</v>
      </c>
      <c r="L166" s="52">
        <f t="shared" si="3"/>
        <v>1181000</v>
      </c>
      <c r="M166" s="52">
        <f t="shared" si="3"/>
        <v>1266000</v>
      </c>
      <c r="N166" s="52">
        <f t="shared" si="3"/>
        <v>1209000</v>
      </c>
      <c r="O166" s="52">
        <f t="shared" si="3"/>
        <v>1405000</v>
      </c>
      <c r="P166" s="52">
        <f t="shared" si="3"/>
        <v>1544000</v>
      </c>
      <c r="Q166" s="52">
        <f t="shared" si="3"/>
        <v>2020000</v>
      </c>
      <c r="R166" s="52">
        <f t="shared" si="3"/>
        <v>1874000</v>
      </c>
      <c r="S166" s="52">
        <f t="shared" si="3"/>
        <v>1514000</v>
      </c>
      <c r="T166" s="52">
        <f t="shared" si="3"/>
        <v>1195000</v>
      </c>
      <c r="U166" s="52">
        <f>U164*1000</f>
        <v>15782000</v>
      </c>
    </row>
    <row r="169" spans="6:22">
      <c r="F169" s="54" t="s">
        <v>73</v>
      </c>
      <c r="G169" s="53"/>
    </row>
    <row r="170" spans="6:22" ht="15.75" thickBot="1">
      <c r="F170" s="55" t="s">
        <v>30</v>
      </c>
      <c r="G170" s="18" t="s">
        <v>31</v>
      </c>
      <c r="H170" s="19" t="s">
        <v>32</v>
      </c>
      <c r="I170" s="20" t="s">
        <v>33</v>
      </c>
      <c r="J170" s="21" t="s">
        <v>34</v>
      </c>
      <c r="K170" s="22" t="s">
        <v>35</v>
      </c>
      <c r="L170" s="22" t="s">
        <v>36</v>
      </c>
      <c r="M170" s="22" t="s">
        <v>37</v>
      </c>
      <c r="N170" s="22" t="s">
        <v>38</v>
      </c>
      <c r="O170" s="22" t="s">
        <v>39</v>
      </c>
      <c r="P170" s="22" t="s">
        <v>40</v>
      </c>
      <c r="Q170" s="22" t="s">
        <v>41</v>
      </c>
      <c r="R170" s="22" t="s">
        <v>42</v>
      </c>
      <c r="S170" s="22" t="s">
        <v>43</v>
      </c>
      <c r="T170" s="22" t="s">
        <v>44</v>
      </c>
      <c r="V170"/>
    </row>
    <row r="171" spans="6:22">
      <c r="F171" s="53"/>
      <c r="G171" s="23">
        <v>7534810685</v>
      </c>
      <c r="H171" s="26" t="s">
        <v>45</v>
      </c>
      <c r="I171" s="27">
        <f>(I145*1000)/31</f>
        <v>354.83870967741933</v>
      </c>
      <c r="J171" s="27">
        <f>(J145*1000)/28</f>
        <v>642.85714285714289</v>
      </c>
      <c r="K171" s="27">
        <f>(K145*1000)/31</f>
        <v>645.16129032258061</v>
      </c>
      <c r="L171" s="27">
        <f>(L145*1000)/30</f>
        <v>633.33333333333337</v>
      </c>
      <c r="M171" s="27">
        <f>(M145*1000)/31</f>
        <v>451.61290322580646</v>
      </c>
      <c r="N171" s="27">
        <f t="shared" ref="N171:N189" si="4">(N145*1000)/30</f>
        <v>500</v>
      </c>
      <c r="O171" s="27">
        <f>(O145*1000)/31</f>
        <v>354.83870967741933</v>
      </c>
      <c r="P171" s="27">
        <f>(P145*1000)/31</f>
        <v>354.83870967741933</v>
      </c>
      <c r="Q171" s="27">
        <f t="shared" ref="Q171:Q189" si="5">(Q145*1000)/30</f>
        <v>533.33333333333337</v>
      </c>
      <c r="R171" s="27">
        <f>(R145*1000)/31</f>
        <v>322.58064516129031</v>
      </c>
      <c r="S171" s="27">
        <f t="shared" ref="S171:S189" si="6">(S145*1000)/30</f>
        <v>300</v>
      </c>
      <c r="T171" s="27">
        <f>(T145*1000)/31</f>
        <v>258.06451612903226</v>
      </c>
      <c r="V171"/>
    </row>
    <row r="172" spans="6:22">
      <c r="F172" s="53"/>
      <c r="G172" s="23">
        <v>4366050935</v>
      </c>
      <c r="H172" s="26" t="s">
        <v>46</v>
      </c>
      <c r="I172" s="27">
        <f t="shared" ref="I172:K189" si="7">(I146*1000)/31</f>
        <v>96.774193548387103</v>
      </c>
      <c r="J172" s="27">
        <f t="shared" ref="J172:J189" si="8">(J146*1000)/28</f>
        <v>821.42857142857144</v>
      </c>
      <c r="K172" s="27">
        <f t="shared" si="7"/>
        <v>774.19354838709683</v>
      </c>
      <c r="L172" s="27">
        <f t="shared" ref="L172:L189" si="9">(L146*1000)/30</f>
        <v>766.66666666666663</v>
      </c>
      <c r="M172" s="27">
        <f t="shared" ref="M172" si="10">(M146*1000)/31</f>
        <v>774.19354838709683</v>
      </c>
      <c r="N172" s="27">
        <f t="shared" si="4"/>
        <v>566.66666666666663</v>
      </c>
      <c r="O172" s="27">
        <f t="shared" ref="O172:P172" si="11">(O146*1000)/31</f>
        <v>1161.2903225806451</v>
      </c>
      <c r="P172" s="27">
        <f t="shared" si="11"/>
        <v>483.87096774193549</v>
      </c>
      <c r="Q172" s="27">
        <f t="shared" si="5"/>
        <v>1566.6666666666667</v>
      </c>
      <c r="R172" s="27">
        <f t="shared" ref="R172" si="12">(R146*1000)/31</f>
        <v>1516.1290322580646</v>
      </c>
      <c r="S172" s="27">
        <f t="shared" si="6"/>
        <v>1600</v>
      </c>
      <c r="T172" s="27">
        <f t="shared" ref="T172" si="13">(T146*1000)/31</f>
        <v>3483.8709677419356</v>
      </c>
      <c r="V172"/>
    </row>
    <row r="173" spans="6:22">
      <c r="F173" s="53"/>
      <c r="G173" s="23">
        <v>6366050937</v>
      </c>
      <c r="H173" s="26" t="s">
        <v>47</v>
      </c>
      <c r="I173" s="27">
        <f t="shared" si="7"/>
        <v>0</v>
      </c>
      <c r="J173" s="27">
        <f t="shared" si="8"/>
        <v>428.57142857142856</v>
      </c>
      <c r="K173" s="27">
        <f t="shared" si="7"/>
        <v>419.35483870967744</v>
      </c>
      <c r="L173" s="27">
        <f t="shared" si="9"/>
        <v>433.33333333333331</v>
      </c>
      <c r="M173" s="27">
        <f t="shared" ref="M173" si="14">(M147*1000)/31</f>
        <v>419.35483870967744</v>
      </c>
      <c r="N173" s="27">
        <f t="shared" si="4"/>
        <v>2133.3333333333335</v>
      </c>
      <c r="O173" s="27">
        <f t="shared" ref="O173:P173" si="15">(O147*1000)/31</f>
        <v>0</v>
      </c>
      <c r="P173" s="27">
        <f t="shared" si="15"/>
        <v>32.258064516129032</v>
      </c>
      <c r="Q173" s="27">
        <f t="shared" si="5"/>
        <v>500</v>
      </c>
      <c r="R173" s="27">
        <f t="shared" ref="R173" si="16">(R147*1000)/31</f>
        <v>1548.3870967741937</v>
      </c>
      <c r="S173" s="27">
        <f t="shared" si="6"/>
        <v>733.33333333333337</v>
      </c>
      <c r="T173" s="27">
        <f t="shared" ref="T173" si="17">(T147*1000)/31</f>
        <v>645.16129032258061</v>
      </c>
      <c r="V173"/>
    </row>
    <row r="174" spans="6:22">
      <c r="F174" s="53"/>
      <c r="G174" s="23">
        <v>7366050938</v>
      </c>
      <c r="H174" s="26" t="s">
        <v>48</v>
      </c>
      <c r="I174" s="27">
        <f t="shared" si="7"/>
        <v>516.12903225806451</v>
      </c>
      <c r="J174" s="27">
        <f t="shared" si="8"/>
        <v>1035.7142857142858</v>
      </c>
      <c r="K174" s="27">
        <f t="shared" si="7"/>
        <v>838.70967741935488</v>
      </c>
      <c r="L174" s="27">
        <f t="shared" si="9"/>
        <v>1400</v>
      </c>
      <c r="M174" s="27">
        <f t="shared" ref="M174" si="18">(M148*1000)/31</f>
        <v>1806.4516129032259</v>
      </c>
      <c r="N174" s="27">
        <f t="shared" si="4"/>
        <v>433.33333333333331</v>
      </c>
      <c r="O174" s="27">
        <f t="shared" ref="O174:P174" si="19">(O148*1000)/31</f>
        <v>612.90322580645159</v>
      </c>
      <c r="P174" s="27">
        <f t="shared" si="19"/>
        <v>1290.3225806451612</v>
      </c>
      <c r="Q174" s="27">
        <f t="shared" si="5"/>
        <v>1333.3333333333333</v>
      </c>
      <c r="R174" s="27">
        <f t="shared" ref="R174" si="20">(R148*1000)/31</f>
        <v>806.45161290322585</v>
      </c>
      <c r="S174" s="27">
        <f t="shared" si="6"/>
        <v>1200</v>
      </c>
      <c r="T174" s="27">
        <f t="shared" ref="T174" si="21">(T148*1000)/31</f>
        <v>1322.5806451612902</v>
      </c>
      <c r="V174"/>
    </row>
    <row r="175" spans="6:22">
      <c r="F175" s="53"/>
      <c r="G175" s="23">
        <v>3366050934</v>
      </c>
      <c r="H175" s="26" t="s">
        <v>49</v>
      </c>
      <c r="I175" s="27">
        <f t="shared" si="7"/>
        <v>1193.5483870967741</v>
      </c>
      <c r="J175" s="27">
        <f t="shared" si="8"/>
        <v>3500</v>
      </c>
      <c r="K175" s="27">
        <f t="shared" si="7"/>
        <v>2580.6451612903224</v>
      </c>
      <c r="L175" s="27">
        <f t="shared" si="9"/>
        <v>2900</v>
      </c>
      <c r="M175" s="27">
        <f t="shared" ref="M175" si="22">(M149*1000)/31</f>
        <v>2516.1290322580644</v>
      </c>
      <c r="N175" s="27">
        <f t="shared" si="4"/>
        <v>766.66666666666663</v>
      </c>
      <c r="O175" s="27">
        <f t="shared" ref="O175:P175" si="23">(O149*1000)/31</f>
        <v>483.87096774193549</v>
      </c>
      <c r="P175" s="27">
        <f t="shared" si="23"/>
        <v>580.64516129032256</v>
      </c>
      <c r="Q175" s="27">
        <f t="shared" si="5"/>
        <v>2100</v>
      </c>
      <c r="R175" s="27">
        <f t="shared" ref="R175" si="24">(R149*1000)/31</f>
        <v>3193.5483870967741</v>
      </c>
      <c r="S175" s="27">
        <f t="shared" si="6"/>
        <v>7200</v>
      </c>
      <c r="T175" s="27">
        <f t="shared" ref="T175" si="25">(T149*1000)/31</f>
        <v>3096.7741935483873</v>
      </c>
      <c r="V175"/>
    </row>
    <row r="176" spans="6:22">
      <c r="F176" s="53"/>
      <c r="G176" s="24">
        <v>5581150299</v>
      </c>
      <c r="H176" s="26" t="s">
        <v>50</v>
      </c>
      <c r="I176" s="27">
        <f t="shared" si="7"/>
        <v>225.80645161290323</v>
      </c>
      <c r="J176" s="27">
        <f t="shared" si="8"/>
        <v>6642.8571428571431</v>
      </c>
      <c r="K176" s="27">
        <f t="shared" si="7"/>
        <v>6645.1612903225805</v>
      </c>
      <c r="L176" s="27">
        <f t="shared" si="9"/>
        <v>9266.6666666666661</v>
      </c>
      <c r="M176" s="27">
        <f t="shared" ref="M176" si="26">(M150*1000)/31</f>
        <v>7193.5483870967746</v>
      </c>
      <c r="N176" s="27">
        <f t="shared" si="4"/>
        <v>4266.666666666667</v>
      </c>
      <c r="O176" s="27">
        <f t="shared" ref="O176:P176" si="27">(O150*1000)/31</f>
        <v>2064.516129032258</v>
      </c>
      <c r="P176" s="27">
        <f t="shared" si="27"/>
        <v>322.58064516129031</v>
      </c>
      <c r="Q176" s="27">
        <f t="shared" si="5"/>
        <v>4066.6666666666665</v>
      </c>
      <c r="R176" s="27">
        <f t="shared" ref="R176" si="28">(R150*1000)/31</f>
        <v>4645.1612903225805</v>
      </c>
      <c r="S176" s="27">
        <f t="shared" si="6"/>
        <v>5100</v>
      </c>
      <c r="T176" s="27">
        <f t="shared" ref="T176" si="29">(T150*1000)/31</f>
        <v>4483.8709677419356</v>
      </c>
      <c r="V176"/>
    </row>
    <row r="177" spans="6:22">
      <c r="F177" s="53"/>
      <c r="G177" s="24">
        <v>5366050936</v>
      </c>
      <c r="H177" s="26" t="s">
        <v>51</v>
      </c>
      <c r="I177" s="27">
        <f t="shared" si="7"/>
        <v>225.80645161290323</v>
      </c>
      <c r="J177" s="27">
        <f t="shared" si="8"/>
        <v>1285.7142857142858</v>
      </c>
      <c r="K177" s="27">
        <f t="shared" si="7"/>
        <v>1193.5483870967741</v>
      </c>
      <c r="L177" s="27">
        <f t="shared" si="9"/>
        <v>1133.3333333333333</v>
      </c>
      <c r="M177" s="27">
        <f t="shared" ref="M177" si="30">(M151*1000)/31</f>
        <v>1258.0645161290322</v>
      </c>
      <c r="N177" s="27">
        <f t="shared" si="4"/>
        <v>366.66666666666669</v>
      </c>
      <c r="O177" s="27">
        <f t="shared" ref="O177:P177" si="31">(O151*1000)/31</f>
        <v>483.87096774193549</v>
      </c>
      <c r="P177" s="27">
        <f t="shared" si="31"/>
        <v>1967.741935483871</v>
      </c>
      <c r="Q177" s="27">
        <f t="shared" si="5"/>
        <v>2733.3333333333335</v>
      </c>
      <c r="R177" s="27">
        <f t="shared" ref="R177" si="32">(R151*1000)/31</f>
        <v>967.74193548387098</v>
      </c>
      <c r="S177" s="27">
        <f t="shared" si="6"/>
        <v>3000</v>
      </c>
      <c r="T177" s="27">
        <f t="shared" ref="T177" si="33">(T151*1000)/31</f>
        <v>4903.2258064516127</v>
      </c>
      <c r="V177"/>
    </row>
    <row r="178" spans="6:22">
      <c r="F178" s="53"/>
      <c r="G178" s="24">
        <v>2052150585</v>
      </c>
      <c r="H178" s="26" t="s">
        <v>52</v>
      </c>
      <c r="I178" s="27">
        <f t="shared" si="7"/>
        <v>3935.483870967742</v>
      </c>
      <c r="J178" s="27">
        <f t="shared" si="8"/>
        <v>7714.2857142857147</v>
      </c>
      <c r="K178" s="27">
        <f t="shared" si="7"/>
        <v>5032.2580645161288</v>
      </c>
      <c r="L178" s="27">
        <f t="shared" si="9"/>
        <v>5500</v>
      </c>
      <c r="M178" s="27">
        <f t="shared" ref="M178" si="34">(M152*1000)/31</f>
        <v>7096.7741935483873</v>
      </c>
      <c r="N178" s="27">
        <f t="shared" si="4"/>
        <v>9400</v>
      </c>
      <c r="O178" s="27">
        <f t="shared" ref="O178:P178" si="35">(O152*1000)/31</f>
        <v>13516.129032258064</v>
      </c>
      <c r="P178" s="27">
        <f t="shared" si="35"/>
        <v>13000</v>
      </c>
      <c r="Q178" s="27">
        <f t="shared" si="5"/>
        <v>14600</v>
      </c>
      <c r="R178" s="27">
        <f t="shared" ref="R178" si="36">(R152*1000)/31</f>
        <v>12354.838709677419</v>
      </c>
      <c r="S178" s="27">
        <f t="shared" si="6"/>
        <v>6433.333333333333</v>
      </c>
      <c r="T178" s="27">
        <f t="shared" ref="T178" si="37">(T152*1000)/31</f>
        <v>3612.9032258064517</v>
      </c>
      <c r="V178"/>
    </row>
    <row r="179" spans="6:22">
      <c r="F179" s="53"/>
      <c r="G179" s="24">
        <v>8635150066</v>
      </c>
      <c r="H179" s="26" t="s">
        <v>53</v>
      </c>
      <c r="I179" s="27">
        <f t="shared" si="7"/>
        <v>96.774193548387103</v>
      </c>
      <c r="J179" s="27">
        <f t="shared" si="8"/>
        <v>607.14285714285711</v>
      </c>
      <c r="K179" s="27">
        <f t="shared" si="7"/>
        <v>225.80645161290323</v>
      </c>
      <c r="L179" s="27">
        <f t="shared" si="9"/>
        <v>133.33333333333334</v>
      </c>
      <c r="M179" s="27">
        <f t="shared" ref="M179" si="38">(M153*1000)/31</f>
        <v>129.03225806451613</v>
      </c>
      <c r="N179" s="27">
        <f t="shared" si="4"/>
        <v>0</v>
      </c>
      <c r="O179" s="27">
        <f t="shared" ref="O179:P179" si="39">(O153*1000)/31</f>
        <v>64.516129032258064</v>
      </c>
      <c r="P179" s="27">
        <f t="shared" si="39"/>
        <v>32.258064516129032</v>
      </c>
      <c r="Q179" s="27">
        <f t="shared" si="5"/>
        <v>100</v>
      </c>
      <c r="R179" s="27">
        <f t="shared" ref="R179" si="40">(R153*1000)/31</f>
        <v>225.80645161290323</v>
      </c>
      <c r="S179" s="27">
        <f t="shared" si="6"/>
        <v>300</v>
      </c>
      <c r="T179" s="27">
        <f t="shared" ref="T179" si="41">(T153*1000)/31</f>
        <v>225.80645161290323</v>
      </c>
      <c r="V179"/>
    </row>
    <row r="180" spans="6:22">
      <c r="F180" s="53"/>
      <c r="G180" s="25">
        <v>6663150208</v>
      </c>
      <c r="H180" s="26" t="s">
        <v>54</v>
      </c>
      <c r="I180" s="27">
        <f t="shared" si="7"/>
        <v>129.03225806451613</v>
      </c>
      <c r="J180" s="27">
        <f t="shared" si="8"/>
        <v>464.28571428571428</v>
      </c>
      <c r="K180" s="27">
        <f t="shared" si="7"/>
        <v>483.87096774193549</v>
      </c>
      <c r="L180" s="27">
        <f t="shared" si="9"/>
        <v>500</v>
      </c>
      <c r="M180" s="27">
        <f t="shared" ref="M180" si="42">(M154*1000)/31</f>
        <v>677.41935483870964</v>
      </c>
      <c r="N180" s="27">
        <f t="shared" si="4"/>
        <v>266.66666666666669</v>
      </c>
      <c r="O180" s="27">
        <f t="shared" ref="O180:P180" si="43">(O154*1000)/31</f>
        <v>193.54838709677421</v>
      </c>
      <c r="P180" s="27">
        <f t="shared" si="43"/>
        <v>258.06451612903226</v>
      </c>
      <c r="Q180" s="27">
        <f t="shared" si="5"/>
        <v>466.66666666666669</v>
      </c>
      <c r="R180" s="27">
        <f t="shared" ref="R180" si="44">(R154*1000)/31</f>
        <v>870.9677419354839</v>
      </c>
      <c r="S180" s="27">
        <f t="shared" si="6"/>
        <v>733.33333333333337</v>
      </c>
      <c r="T180" s="27">
        <f t="shared" ref="T180" si="45">(T154*1000)/31</f>
        <v>580.64516129032256</v>
      </c>
      <c r="V180"/>
    </row>
    <row r="181" spans="6:22">
      <c r="F181" s="53"/>
      <c r="G181" s="24">
        <v>6068150813</v>
      </c>
      <c r="H181" s="26" t="s">
        <v>55</v>
      </c>
      <c r="I181" s="27">
        <f t="shared" si="7"/>
        <v>1032.258064516129</v>
      </c>
      <c r="J181" s="27">
        <f t="shared" si="8"/>
        <v>928.57142857142856</v>
      </c>
      <c r="K181" s="27">
        <f t="shared" si="7"/>
        <v>612.90322580645159</v>
      </c>
      <c r="L181" s="27">
        <f t="shared" si="9"/>
        <v>633.33333333333337</v>
      </c>
      <c r="M181" s="27">
        <f t="shared" ref="M181" si="46">(M155*1000)/31</f>
        <v>1774.1935483870968</v>
      </c>
      <c r="N181" s="27">
        <f t="shared" si="4"/>
        <v>5866.666666666667</v>
      </c>
      <c r="O181" s="27">
        <f t="shared" ref="O181:P181" si="47">(O155*1000)/31</f>
        <v>8677.4193548387102</v>
      </c>
      <c r="P181" s="27">
        <f t="shared" si="47"/>
        <v>7032.2580645161288</v>
      </c>
      <c r="Q181" s="27">
        <f t="shared" si="5"/>
        <v>8500</v>
      </c>
      <c r="R181" s="27">
        <f t="shared" ref="R181" si="48">(R155*1000)/31</f>
        <v>5580.6451612903229</v>
      </c>
      <c r="S181" s="27">
        <f t="shared" si="6"/>
        <v>2566.6666666666665</v>
      </c>
      <c r="T181" s="27">
        <f t="shared" ref="T181" si="49">(T155*1000)/31</f>
        <v>483.87096774193549</v>
      </c>
      <c r="V181"/>
    </row>
    <row r="182" spans="6:22">
      <c r="F182" s="53"/>
      <c r="G182" s="25">
        <v>5068150812</v>
      </c>
      <c r="H182" s="26" t="s">
        <v>56</v>
      </c>
      <c r="I182" s="27">
        <f t="shared" si="7"/>
        <v>161.29032258064515</v>
      </c>
      <c r="J182" s="27">
        <f t="shared" si="8"/>
        <v>428.57142857142856</v>
      </c>
      <c r="K182" s="27">
        <f t="shared" si="7"/>
        <v>387.09677419354841</v>
      </c>
      <c r="L182" s="27">
        <f t="shared" si="9"/>
        <v>400</v>
      </c>
      <c r="M182" s="27">
        <f t="shared" ref="M182" si="50">(M156*1000)/31</f>
        <v>387.09677419354841</v>
      </c>
      <c r="N182" s="27">
        <f t="shared" si="4"/>
        <v>200</v>
      </c>
      <c r="O182" s="27">
        <f t="shared" ref="O182:P182" si="51">(O156*1000)/31</f>
        <v>129.03225806451613</v>
      </c>
      <c r="P182" s="27">
        <f t="shared" si="51"/>
        <v>193.54838709677421</v>
      </c>
      <c r="Q182" s="27">
        <f t="shared" si="5"/>
        <v>233.33333333333334</v>
      </c>
      <c r="R182" s="27">
        <f t="shared" ref="R182" si="52">(R156*1000)/31</f>
        <v>290.32258064516128</v>
      </c>
      <c r="S182" s="27">
        <f t="shared" si="6"/>
        <v>700</v>
      </c>
      <c r="T182" s="27">
        <f t="shared" ref="T182" si="53">(T156*1000)/31</f>
        <v>290.32258064516128</v>
      </c>
      <c r="V182"/>
    </row>
    <row r="183" spans="6:22">
      <c r="F183" s="53"/>
      <c r="G183" s="25">
        <v>2364150700</v>
      </c>
      <c r="H183" s="26" t="s">
        <v>57</v>
      </c>
      <c r="I183" s="27">
        <f t="shared" si="7"/>
        <v>612.90322580645159</v>
      </c>
      <c r="J183" s="27">
        <f t="shared" si="8"/>
        <v>1428.5714285714287</v>
      </c>
      <c r="K183" s="27">
        <f t="shared" si="7"/>
        <v>1645.1612903225807</v>
      </c>
      <c r="L183" s="27">
        <f t="shared" si="9"/>
        <v>966.66666666666663</v>
      </c>
      <c r="M183" s="27">
        <f t="shared" ref="M183" si="54">(M157*1000)/31</f>
        <v>967.74193548387098</v>
      </c>
      <c r="N183" s="27">
        <f t="shared" si="4"/>
        <v>1233.3333333333333</v>
      </c>
      <c r="O183" s="27">
        <f t="shared" ref="O183:P183" si="55">(O157*1000)/31</f>
        <v>1032.258064516129</v>
      </c>
      <c r="P183" s="27">
        <f t="shared" si="55"/>
        <v>1161.2903225806451</v>
      </c>
      <c r="Q183" s="27">
        <f t="shared" si="5"/>
        <v>1866.6666666666667</v>
      </c>
      <c r="R183" s="27">
        <f t="shared" ref="R183" si="56">(R157*1000)/31</f>
        <v>1903.2258064516129</v>
      </c>
      <c r="S183" s="27">
        <f t="shared" si="6"/>
        <v>1700</v>
      </c>
      <c r="T183" s="27">
        <f t="shared" ref="T183" si="57">(T157*1000)/31</f>
        <v>806.45161290322585</v>
      </c>
      <c r="V183"/>
    </row>
    <row r="184" spans="6:22">
      <c r="F184" s="53"/>
      <c r="G184" s="25">
        <v>1364150699</v>
      </c>
      <c r="H184" s="26" t="s">
        <v>58</v>
      </c>
      <c r="I184" s="27">
        <f t="shared" si="7"/>
        <v>290.32258064516128</v>
      </c>
      <c r="J184" s="27">
        <f t="shared" si="8"/>
        <v>2821.4285714285716</v>
      </c>
      <c r="K184" s="27">
        <f t="shared" si="7"/>
        <v>2387.0967741935483</v>
      </c>
      <c r="L184" s="27">
        <f t="shared" si="9"/>
        <v>3100</v>
      </c>
      <c r="M184" s="27">
        <f t="shared" ref="M184" si="58">(M158*1000)/31</f>
        <v>2677.4193548387098</v>
      </c>
      <c r="N184" s="27">
        <f t="shared" si="4"/>
        <v>366.66666666666669</v>
      </c>
      <c r="O184" s="27">
        <f t="shared" ref="O184:P184" si="59">(O158*1000)/31</f>
        <v>387.09677419354841</v>
      </c>
      <c r="P184" s="27">
        <f t="shared" si="59"/>
        <v>3064.516129032258</v>
      </c>
      <c r="Q184" s="27">
        <f t="shared" si="5"/>
        <v>4300</v>
      </c>
      <c r="R184" s="27">
        <f t="shared" ref="R184" si="60">(R158*1000)/31</f>
        <v>4064.516129032258</v>
      </c>
      <c r="S184" s="27">
        <f t="shared" si="6"/>
        <v>2533.3333333333335</v>
      </c>
      <c r="T184" s="27">
        <f t="shared" ref="T184" si="61">(T158*1000)/31</f>
        <v>1645.1612903225807</v>
      </c>
      <c r="V184"/>
    </row>
    <row r="185" spans="6:22">
      <c r="F185" s="53"/>
      <c r="G185" s="24">
        <v>2068150809</v>
      </c>
      <c r="H185" s="26" t="s">
        <v>59</v>
      </c>
      <c r="I185" s="27">
        <f t="shared" si="7"/>
        <v>0</v>
      </c>
      <c r="J185" s="27">
        <f t="shared" si="8"/>
        <v>71.428571428571431</v>
      </c>
      <c r="K185" s="27">
        <f t="shared" si="7"/>
        <v>64.516129032258064</v>
      </c>
      <c r="L185" s="27">
        <f t="shared" si="9"/>
        <v>33.333333333333336</v>
      </c>
      <c r="M185" s="27">
        <f t="shared" ref="M185" si="62">(M159*1000)/31</f>
        <v>64.516129032258064</v>
      </c>
      <c r="N185" s="27">
        <f t="shared" si="4"/>
        <v>33.333333333333336</v>
      </c>
      <c r="O185" s="27">
        <f t="shared" ref="O185:P185" si="63">(O159*1000)/31</f>
        <v>32.258064516129032</v>
      </c>
      <c r="P185" s="27">
        <f t="shared" si="63"/>
        <v>32.258064516129032</v>
      </c>
      <c r="Q185" s="27">
        <f t="shared" si="5"/>
        <v>33.333333333333336</v>
      </c>
      <c r="R185" s="27">
        <f t="shared" ref="R185" si="64">(R159*1000)/31</f>
        <v>64.516129032258064</v>
      </c>
      <c r="S185" s="27">
        <f t="shared" si="6"/>
        <v>33.333333333333336</v>
      </c>
      <c r="T185" s="27">
        <f t="shared" ref="T185" si="65">(T159*1000)/31</f>
        <v>32.258064516129032</v>
      </c>
      <c r="V185"/>
    </row>
    <row r="186" spans="6:22">
      <c r="F186" s="53"/>
      <c r="G186" s="24">
        <v>5756250297</v>
      </c>
      <c r="H186" s="26" t="s">
        <v>60</v>
      </c>
      <c r="I186" s="27">
        <f t="shared" si="7"/>
        <v>32.258064516129032</v>
      </c>
      <c r="J186" s="27">
        <f t="shared" si="8"/>
        <v>107.14285714285714</v>
      </c>
      <c r="K186" s="27">
        <f t="shared" si="7"/>
        <v>96.774193548387103</v>
      </c>
      <c r="L186" s="27">
        <f t="shared" si="9"/>
        <v>100</v>
      </c>
      <c r="M186" s="27">
        <f t="shared" ref="M186" si="66">(M160*1000)/31</f>
        <v>258.06451612903226</v>
      </c>
      <c r="N186" s="27">
        <f t="shared" si="4"/>
        <v>66.666666666666671</v>
      </c>
      <c r="O186" s="27">
        <f t="shared" ref="O186:P186" si="67">(O160*1000)/31</f>
        <v>161.29032258064515</v>
      </c>
      <c r="P186" s="27">
        <f t="shared" si="67"/>
        <v>96.774193548387103</v>
      </c>
      <c r="Q186" s="27">
        <f t="shared" si="5"/>
        <v>100</v>
      </c>
      <c r="R186" s="27">
        <f t="shared" ref="R186" si="68">(R160*1000)/31</f>
        <v>96.774193548387103</v>
      </c>
      <c r="S186" s="27">
        <f t="shared" si="6"/>
        <v>100</v>
      </c>
      <c r="T186" s="27">
        <f t="shared" ref="T186" si="69">(T160*1000)/31</f>
        <v>96.774193548387103</v>
      </c>
      <c r="V186"/>
    </row>
    <row r="187" spans="6:22">
      <c r="F187" s="53"/>
      <c r="G187" s="25">
        <v>1665911804</v>
      </c>
      <c r="H187" s="26" t="s">
        <v>61</v>
      </c>
      <c r="I187" s="27">
        <f t="shared" si="7"/>
        <v>3032.2580645161293</v>
      </c>
      <c r="J187" s="27">
        <f t="shared" si="8"/>
        <v>9785.7142857142862</v>
      </c>
      <c r="K187" s="27">
        <f t="shared" si="7"/>
        <v>9709.677419354839</v>
      </c>
      <c r="L187" s="27">
        <f t="shared" si="9"/>
        <v>10500</v>
      </c>
      <c r="M187" s="27">
        <f t="shared" ref="M187" si="70">(M161*1000)/31</f>
        <v>11129.032258064517</v>
      </c>
      <c r="N187" s="27">
        <f t="shared" si="4"/>
        <v>12566.666666666666</v>
      </c>
      <c r="O187" s="27">
        <f t="shared" ref="O187:P187" si="71">(O161*1000)/31</f>
        <v>15322.58064516129</v>
      </c>
      <c r="P187" s="27">
        <f t="shared" si="71"/>
        <v>19193.548387096773</v>
      </c>
      <c r="Q187" s="27">
        <f t="shared" si="5"/>
        <v>23366.666666666668</v>
      </c>
      <c r="R187" s="27">
        <f t="shared" ref="R187" si="72">(R161*1000)/31</f>
        <v>20967.741935483871</v>
      </c>
      <c r="S187" s="27">
        <f t="shared" si="6"/>
        <v>15233.333333333334</v>
      </c>
      <c r="T187" s="27">
        <f t="shared" ref="T187" si="73">(T161*1000)/31</f>
        <v>11806.451612903225</v>
      </c>
      <c r="V187"/>
    </row>
    <row r="188" spans="6:22">
      <c r="F188" s="53"/>
      <c r="G188" s="25">
        <v>3054467971</v>
      </c>
      <c r="H188" s="26" t="s">
        <v>62</v>
      </c>
      <c r="I188" s="27">
        <f t="shared" si="7"/>
        <v>451.61290322580646</v>
      </c>
      <c r="J188" s="27">
        <f t="shared" si="8"/>
        <v>1035.7142857142858</v>
      </c>
      <c r="K188" s="27">
        <f t="shared" si="7"/>
        <v>935.48387096774195</v>
      </c>
      <c r="L188" s="27">
        <f t="shared" si="9"/>
        <v>966.66666666666663</v>
      </c>
      <c r="M188" s="27">
        <f t="shared" ref="M188" si="74">(M162*1000)/31</f>
        <v>1225.8064516129032</v>
      </c>
      <c r="N188" s="27">
        <f t="shared" si="4"/>
        <v>1233.3333333333333</v>
      </c>
      <c r="O188" s="27">
        <f t="shared" ref="O188:P188" si="75">(O162*1000)/31</f>
        <v>612.90322580645159</v>
      </c>
      <c r="P188" s="27">
        <f t="shared" si="75"/>
        <v>677.41935483870964</v>
      </c>
      <c r="Q188" s="27">
        <f t="shared" si="5"/>
        <v>933.33333333333337</v>
      </c>
      <c r="R188" s="27">
        <f t="shared" ref="R188" si="76">(R162*1000)/31</f>
        <v>967.74193548387098</v>
      </c>
      <c r="S188" s="27">
        <f t="shared" si="6"/>
        <v>966.66666666666663</v>
      </c>
      <c r="T188" s="27">
        <f t="shared" ref="T188" si="77">(T162*1000)/31</f>
        <v>741.93548387096769</v>
      </c>
      <c r="V188"/>
    </row>
    <row r="189" spans="6:22">
      <c r="F189" s="53"/>
      <c r="G189" s="25">
        <v>3380811569</v>
      </c>
      <c r="H189" s="26" t="s">
        <v>63</v>
      </c>
      <c r="I189" s="27">
        <f t="shared" si="7"/>
        <v>0</v>
      </c>
      <c r="J189" s="27">
        <f t="shared" si="8"/>
        <v>35.714285714285715</v>
      </c>
      <c r="K189" s="27">
        <f t="shared" si="7"/>
        <v>32.258064516129032</v>
      </c>
      <c r="L189" s="27">
        <f t="shared" si="9"/>
        <v>0</v>
      </c>
      <c r="M189" s="27">
        <f t="shared" ref="M189" si="78">(M163*1000)/31</f>
        <v>32.258064516129032</v>
      </c>
      <c r="N189" s="27">
        <f t="shared" si="4"/>
        <v>33.333333333333336</v>
      </c>
      <c r="O189" s="27">
        <f t="shared" ref="O189:P189" si="79">(O163*1000)/31</f>
        <v>32.258064516129032</v>
      </c>
      <c r="P189" s="27">
        <f t="shared" si="79"/>
        <v>32.258064516129032</v>
      </c>
      <c r="Q189" s="27">
        <f t="shared" si="5"/>
        <v>0</v>
      </c>
      <c r="R189" s="27">
        <f t="shared" ref="R189" si="80">(R163*1000)/31</f>
        <v>64.516129032258064</v>
      </c>
      <c r="S189" s="27">
        <f t="shared" si="6"/>
        <v>33.333333333333336</v>
      </c>
      <c r="T189" s="27">
        <f t="shared" ref="T189" si="81">(T163*1000)/31</f>
        <v>32.258064516129032</v>
      </c>
      <c r="V189"/>
    </row>
    <row r="191" spans="6:22">
      <c r="I191" s="9">
        <f t="shared" ref="I191:T191" si="82">SUM(I171:I190)</f>
        <v>12387.096774193547</v>
      </c>
      <c r="J191" s="9">
        <f t="shared" si="82"/>
        <v>39785.714285714283</v>
      </c>
      <c r="K191" s="9">
        <f t="shared" si="82"/>
        <v>34709.677419354834</v>
      </c>
      <c r="L191" s="9">
        <f t="shared" si="82"/>
        <v>39366.666666666664</v>
      </c>
      <c r="M191" s="9">
        <f t="shared" si="82"/>
        <v>40838.709677419356</v>
      </c>
      <c r="N191" s="9">
        <f t="shared" si="82"/>
        <v>40300.000000000007</v>
      </c>
      <c r="O191" s="9">
        <f t="shared" si="82"/>
        <v>45322.580645161295</v>
      </c>
      <c r="P191" s="9">
        <f t="shared" si="82"/>
        <v>49806.45161290322</v>
      </c>
      <c r="Q191" s="9">
        <f t="shared" si="82"/>
        <v>67333.333333333328</v>
      </c>
      <c r="R191" s="9">
        <f t="shared" si="82"/>
        <v>60451.612903225803</v>
      </c>
      <c r="S191" s="9">
        <f t="shared" si="82"/>
        <v>50466.666666666672</v>
      </c>
      <c r="T191" s="9">
        <f t="shared" si="82"/>
        <v>38548.387096774197</v>
      </c>
    </row>
    <row r="194" spans="6:23" ht="15.75" thickBot="1">
      <c r="F194" s="54" t="s">
        <v>74</v>
      </c>
    </row>
    <row r="195" spans="6:23" ht="15.75" thickBot="1">
      <c r="F195" s="2" t="s">
        <v>76</v>
      </c>
      <c r="G195" s="12" t="s">
        <v>84</v>
      </c>
      <c r="H195" s="12" t="s">
        <v>85</v>
      </c>
      <c r="I195" s="12" t="s">
        <v>75</v>
      </c>
      <c r="J195" s="12" t="s">
        <v>93</v>
      </c>
      <c r="K195" s="12" t="s">
        <v>94</v>
      </c>
      <c r="L195" s="58"/>
      <c r="M195" s="62" t="s">
        <v>95</v>
      </c>
      <c r="N195" s="63" t="s">
        <v>96</v>
      </c>
      <c r="O195" s="63" t="s">
        <v>97</v>
      </c>
      <c r="P195" s="64" t="s">
        <v>98</v>
      </c>
      <c r="Q195" s="59"/>
      <c r="R195" s="12"/>
      <c r="S195" s="12"/>
      <c r="T195" s="12"/>
      <c r="W195" s="5"/>
    </row>
    <row r="196" spans="6:23">
      <c r="F196" s="57">
        <v>45377</v>
      </c>
      <c r="G196" s="12" t="s">
        <v>77</v>
      </c>
      <c r="H196" s="12" t="s">
        <v>86</v>
      </c>
      <c r="I196" s="12">
        <v>5</v>
      </c>
      <c r="J196" s="12" t="s">
        <v>7</v>
      </c>
      <c r="K196" s="9">
        <f>I191*5</f>
        <v>61935.483870967735</v>
      </c>
      <c r="L196" s="58"/>
      <c r="M196" s="61">
        <f>K196*0.000001</f>
        <v>6.1935483870967735E-2</v>
      </c>
      <c r="N196" s="66"/>
      <c r="O196" s="66"/>
      <c r="P196" s="67"/>
      <c r="Q196" s="59"/>
      <c r="R196" s="12"/>
      <c r="S196" s="12"/>
      <c r="T196" s="12"/>
      <c r="W196" s="5"/>
    </row>
    <row r="197" spans="6:23">
      <c r="F197" s="57">
        <v>45426</v>
      </c>
      <c r="G197" s="12" t="s">
        <v>78</v>
      </c>
      <c r="H197" s="12" t="s">
        <v>87</v>
      </c>
      <c r="I197" s="17">
        <v>65</v>
      </c>
      <c r="J197" s="9">
        <f>J191*7</f>
        <v>278500</v>
      </c>
      <c r="K197" s="9">
        <f>(I191*26)+(J191*28)+(K191*11)</f>
        <v>1817870.9677419355</v>
      </c>
      <c r="L197" s="58"/>
      <c r="M197" s="60">
        <f t="shared" ref="M197:M202" si="83">K197*0.000001</f>
        <v>1.8178709677419354</v>
      </c>
      <c r="N197" s="68"/>
      <c r="O197" s="68"/>
      <c r="P197" s="69"/>
      <c r="Q197" s="59"/>
      <c r="R197" s="12"/>
      <c r="S197" s="12"/>
      <c r="T197" s="12"/>
      <c r="W197" s="5"/>
    </row>
    <row r="198" spans="6:23">
      <c r="F198" s="57">
        <v>45496</v>
      </c>
      <c r="G198" s="12" t="s">
        <v>79</v>
      </c>
      <c r="H198" s="12" t="s">
        <v>88</v>
      </c>
      <c r="I198" s="12">
        <v>63</v>
      </c>
      <c r="J198" s="9">
        <f>L191*7</f>
        <v>275566.66666666663</v>
      </c>
      <c r="K198" s="9">
        <f>(K191*20)+(L191*30)+(M191*13)</f>
        <v>2406096.7741935486</v>
      </c>
      <c r="L198" s="58"/>
      <c r="M198" s="60">
        <f t="shared" si="83"/>
        <v>2.4060967741935486</v>
      </c>
      <c r="N198" s="68"/>
      <c r="O198" s="68"/>
      <c r="P198" s="69"/>
      <c r="Q198" s="59"/>
      <c r="R198" s="12"/>
      <c r="S198" s="12"/>
      <c r="T198" s="12"/>
      <c r="W198" s="5"/>
    </row>
    <row r="199" spans="6:23">
      <c r="F199" s="57">
        <v>45568</v>
      </c>
      <c r="G199" s="12" t="s">
        <v>80</v>
      </c>
      <c r="H199" s="12" t="s">
        <v>89</v>
      </c>
      <c r="I199" s="12">
        <v>63</v>
      </c>
      <c r="J199" s="9">
        <f>N191*7</f>
        <v>282100.00000000006</v>
      </c>
      <c r="K199" s="9">
        <f>(M191*18)+(N191*30)+(O191*15)</f>
        <v>2623935.4838709682</v>
      </c>
      <c r="L199" s="58"/>
      <c r="M199" s="60">
        <f t="shared" si="83"/>
        <v>2.6239354838709681</v>
      </c>
      <c r="N199" s="68"/>
      <c r="O199" s="68"/>
      <c r="P199" s="69"/>
      <c r="Q199" s="59"/>
      <c r="R199" s="12"/>
      <c r="S199" s="12"/>
      <c r="T199" s="12"/>
      <c r="W199" s="5"/>
    </row>
    <row r="200" spans="6:23">
      <c r="F200" s="57">
        <v>45645</v>
      </c>
      <c r="G200" s="12" t="s">
        <v>81</v>
      </c>
      <c r="H200" s="12" t="s">
        <v>90</v>
      </c>
      <c r="I200" s="17">
        <v>62</v>
      </c>
      <c r="J200" s="9">
        <f>P191*7</f>
        <v>348645.16129032255</v>
      </c>
      <c r="K200" s="9">
        <f>(O191*16)+(P191*31)+(Q191*16)</f>
        <v>3346494.6236559134</v>
      </c>
      <c r="L200" s="58"/>
      <c r="M200" s="60">
        <f t="shared" si="83"/>
        <v>3.3464946236559134</v>
      </c>
      <c r="N200" s="68"/>
      <c r="O200" s="68"/>
      <c r="P200" s="69"/>
      <c r="Q200" s="59"/>
      <c r="R200" s="12"/>
      <c r="S200" s="12"/>
      <c r="T200" s="12"/>
      <c r="W200" s="5"/>
    </row>
    <row r="201" spans="6:23">
      <c r="F201" s="57">
        <v>45708</v>
      </c>
      <c r="G201" s="12" t="s">
        <v>82</v>
      </c>
      <c r="H201" s="12" t="s">
        <v>91</v>
      </c>
      <c r="I201" s="12">
        <v>63</v>
      </c>
      <c r="J201" s="9">
        <f>R191*7</f>
        <v>423161.29032258061</v>
      </c>
      <c r="K201" s="9">
        <f>(Q191*13)+(R191*31)+(S191*18)</f>
        <v>3657733.333333333</v>
      </c>
      <c r="L201" s="58"/>
      <c r="M201" s="60">
        <f t="shared" si="83"/>
        <v>3.6577333333333328</v>
      </c>
      <c r="N201" s="68"/>
      <c r="O201" s="68"/>
      <c r="P201" s="69"/>
      <c r="Q201" s="59"/>
      <c r="R201" s="12"/>
      <c r="S201" s="12"/>
      <c r="T201" s="12"/>
      <c r="W201" s="5"/>
    </row>
    <row r="202" spans="6:23" ht="15.75" thickBot="1">
      <c r="F202" s="57">
        <v>45722</v>
      </c>
      <c r="G202" s="12" t="s">
        <v>83</v>
      </c>
      <c r="H202" s="12" t="s">
        <v>92</v>
      </c>
      <c r="I202" s="17">
        <v>43</v>
      </c>
      <c r="J202" s="9">
        <f>T191*7</f>
        <v>269838.70967741939</v>
      </c>
      <c r="K202" s="9">
        <f>(S191*11)+(T191*31)</f>
        <v>1750133.3333333335</v>
      </c>
      <c r="L202" s="58"/>
      <c r="M202" s="65">
        <f t="shared" si="83"/>
        <v>1.7501333333333333</v>
      </c>
      <c r="N202" s="70"/>
      <c r="O202" s="70"/>
      <c r="P202" s="71"/>
      <c r="Q202" s="59"/>
      <c r="R202" s="12"/>
      <c r="S202" s="12"/>
      <c r="T202" s="12"/>
      <c r="W202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17"/>
  <sheetViews>
    <sheetView workbookViewId="0">
      <selection activeCell="A49" sqref="A49:P67"/>
    </sheetView>
  </sheetViews>
  <sheetFormatPr defaultRowHeight="15"/>
  <cols>
    <col min="1" max="1" width="19.42578125" customWidth="1"/>
    <col min="2" max="2" width="11.140625" customWidth="1"/>
    <col min="16" max="16" width="12.140625" customWidth="1"/>
  </cols>
  <sheetData>
    <row r="1" spans="1:16">
      <c r="A1" s="212" t="s">
        <v>28</v>
      </c>
      <c r="B1" s="212"/>
      <c r="C1" s="212"/>
      <c r="D1" s="212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2"/>
    </row>
    <row r="2" spans="1:16" ht="15.75" thickBot="1">
      <c r="A2" s="245" t="s">
        <v>30</v>
      </c>
      <c r="B2" s="246" t="s">
        <v>31</v>
      </c>
      <c r="C2" s="246" t="s">
        <v>32</v>
      </c>
      <c r="D2" s="246" t="s">
        <v>33</v>
      </c>
      <c r="E2" s="246" t="s">
        <v>34</v>
      </c>
      <c r="F2" s="246" t="s">
        <v>35</v>
      </c>
      <c r="G2" s="246" t="s">
        <v>36</v>
      </c>
      <c r="H2" s="246" t="s">
        <v>37</v>
      </c>
      <c r="I2" s="246" t="s">
        <v>38</v>
      </c>
      <c r="J2" s="246" t="s">
        <v>39</v>
      </c>
      <c r="K2" s="246" t="s">
        <v>40</v>
      </c>
      <c r="L2" s="246" t="s">
        <v>41</v>
      </c>
      <c r="M2" s="246" t="s">
        <v>42</v>
      </c>
      <c r="N2" s="246" t="s">
        <v>43</v>
      </c>
      <c r="O2" s="246" t="s">
        <v>44</v>
      </c>
      <c r="P2" s="323" t="s">
        <v>103</v>
      </c>
    </row>
    <row r="3" spans="1:16">
      <c r="A3" s="243"/>
      <c r="B3" s="248">
        <v>7534810685</v>
      </c>
      <c r="C3" s="259" t="s">
        <v>45</v>
      </c>
      <c r="D3" s="251">
        <f t="shared" ref="D3:O3" si="0">AVERAGE(D51,D98,D148,D198,D248,D298)</f>
        <v>413.97849462365593</v>
      </c>
      <c r="E3" s="251">
        <f t="shared" si="0"/>
        <v>577.38095238095229</v>
      </c>
      <c r="F3" s="251">
        <f t="shared" si="0"/>
        <v>548.38709677419354</v>
      </c>
      <c r="G3" s="251">
        <f t="shared" si="0"/>
        <v>555.55555555555554</v>
      </c>
      <c r="H3" s="251">
        <f t="shared" si="0"/>
        <v>564.51612903225794</v>
      </c>
      <c r="I3" s="251">
        <f t="shared" si="0"/>
        <v>438.88888888888886</v>
      </c>
      <c r="J3" s="251">
        <f t="shared" si="0"/>
        <v>446.23655913978496</v>
      </c>
      <c r="K3" s="251">
        <f t="shared" si="0"/>
        <v>456.98924731182802</v>
      </c>
      <c r="L3" s="251">
        <f t="shared" si="0"/>
        <v>516.66666666666663</v>
      </c>
      <c r="M3" s="251">
        <f t="shared" si="0"/>
        <v>456.98924731182797</v>
      </c>
      <c r="N3" s="251">
        <f t="shared" si="0"/>
        <v>427.77777777777777</v>
      </c>
      <c r="O3" s="251">
        <f t="shared" si="0"/>
        <v>446.2365591397849</v>
      </c>
      <c r="P3" s="324">
        <f>AVERAGE(D3:O3)</f>
        <v>487.46693121693119</v>
      </c>
    </row>
    <row r="4" spans="1:16">
      <c r="A4" s="243"/>
      <c r="B4" s="248">
        <v>4366050935</v>
      </c>
      <c r="C4" s="259" t="s">
        <v>46</v>
      </c>
      <c r="D4" s="251">
        <f t="shared" ref="D4:O4" si="1">AVERAGE(D52,D99,D149,D199,D249,D299)</f>
        <v>188.17204301075273</v>
      </c>
      <c r="E4" s="251">
        <f t="shared" si="1"/>
        <v>1166.6666666666667</v>
      </c>
      <c r="F4" s="251">
        <f t="shared" si="1"/>
        <v>1026.8817204301076</v>
      </c>
      <c r="G4" s="251">
        <f t="shared" si="1"/>
        <v>1077.7777777777778</v>
      </c>
      <c r="H4" s="251">
        <f t="shared" si="1"/>
        <v>612.90322580645159</v>
      </c>
      <c r="I4" s="251">
        <f t="shared" si="1"/>
        <v>138.88888888888889</v>
      </c>
      <c r="J4" s="251">
        <f t="shared" si="1"/>
        <v>247.31182795698922</v>
      </c>
      <c r="K4" s="251">
        <f t="shared" si="1"/>
        <v>263.44086021505376</v>
      </c>
      <c r="L4" s="251">
        <f t="shared" si="1"/>
        <v>1233.3333333333333</v>
      </c>
      <c r="M4" s="251">
        <f t="shared" si="1"/>
        <v>1139.7849462365591</v>
      </c>
      <c r="N4" s="251">
        <f t="shared" si="1"/>
        <v>1244.4444444444443</v>
      </c>
      <c r="O4" s="251">
        <f t="shared" si="1"/>
        <v>1408.6021505376345</v>
      </c>
      <c r="P4" s="342">
        <f t="shared" ref="P4:P21" si="2">AVERAGE(D4:O4)</f>
        <v>812.35065710872152</v>
      </c>
    </row>
    <row r="5" spans="1:16">
      <c r="A5" s="243"/>
      <c r="B5" s="248">
        <v>6366050937</v>
      </c>
      <c r="C5" s="259" t="s">
        <v>47</v>
      </c>
      <c r="D5" s="251">
        <f t="shared" ref="D5:O5" si="3">AVERAGE(D53,D100,D150,D200,D250,D300)</f>
        <v>139.78494623655914</v>
      </c>
      <c r="E5" s="251">
        <f t="shared" si="3"/>
        <v>1071.4285714285716</v>
      </c>
      <c r="F5" s="251">
        <f t="shared" si="3"/>
        <v>822.58064516129025</v>
      </c>
      <c r="G5" s="251">
        <f t="shared" si="3"/>
        <v>944.44444444444434</v>
      </c>
      <c r="H5" s="251">
        <f t="shared" si="3"/>
        <v>951.61290322580646</v>
      </c>
      <c r="I5" s="251">
        <f t="shared" si="3"/>
        <v>1183.3333333333333</v>
      </c>
      <c r="J5" s="251">
        <f t="shared" si="3"/>
        <v>365.59139784946234</v>
      </c>
      <c r="K5" s="251">
        <f t="shared" si="3"/>
        <v>172.04301075268816</v>
      </c>
      <c r="L5" s="251">
        <f t="shared" si="3"/>
        <v>900</v>
      </c>
      <c r="M5" s="251">
        <f t="shared" si="3"/>
        <v>1150.5376344086023</v>
      </c>
      <c r="N5" s="251">
        <f t="shared" si="3"/>
        <v>1077.7777777777776</v>
      </c>
      <c r="O5" s="251">
        <f t="shared" si="3"/>
        <v>736.55913978494618</v>
      </c>
      <c r="P5" s="342">
        <f t="shared" si="2"/>
        <v>792.97448370029008</v>
      </c>
    </row>
    <row r="6" spans="1:16">
      <c r="A6" s="243"/>
      <c r="B6" s="248">
        <v>7366050938</v>
      </c>
      <c r="C6" s="259" t="s">
        <v>48</v>
      </c>
      <c r="D6" s="251">
        <f t="shared" ref="D6:O6" si="4">AVERAGE(D54,D101,D151,D201,D251,D301)</f>
        <v>881.72043010752679</v>
      </c>
      <c r="E6" s="251">
        <f t="shared" si="4"/>
        <v>1333.3333333333333</v>
      </c>
      <c r="F6" s="251">
        <f t="shared" si="4"/>
        <v>1236.5591397849462</v>
      </c>
      <c r="G6" s="251">
        <f t="shared" si="4"/>
        <v>1116.6666666666667</v>
      </c>
      <c r="H6" s="251">
        <f t="shared" si="4"/>
        <v>1043.010752688172</v>
      </c>
      <c r="I6" s="251">
        <f t="shared" si="4"/>
        <v>894.44444444444434</v>
      </c>
      <c r="J6" s="251">
        <f t="shared" si="4"/>
        <v>1075.2688172043011</v>
      </c>
      <c r="K6" s="251">
        <f t="shared" si="4"/>
        <v>1413.9784946236559</v>
      </c>
      <c r="L6" s="251">
        <f t="shared" si="4"/>
        <v>1505.5555555555557</v>
      </c>
      <c r="M6" s="251">
        <f t="shared" si="4"/>
        <v>1424.7311827956989</v>
      </c>
      <c r="N6" s="251">
        <f t="shared" si="4"/>
        <v>1277.7777777777776</v>
      </c>
      <c r="O6" s="251">
        <f t="shared" si="4"/>
        <v>1096.7741935483871</v>
      </c>
      <c r="P6" s="342">
        <f t="shared" si="2"/>
        <v>1191.6517323775386</v>
      </c>
    </row>
    <row r="7" spans="1:16">
      <c r="A7" s="243"/>
      <c r="B7" s="248">
        <v>3366050934</v>
      </c>
      <c r="C7" s="259" t="s">
        <v>49</v>
      </c>
      <c r="D7" s="251">
        <f t="shared" ref="D7:O7" si="5">AVERAGE(D55,D102,D152,D202,D252,D302)</f>
        <v>3032.2580645161288</v>
      </c>
      <c r="E7" s="251">
        <f t="shared" si="5"/>
        <v>6428.5714285714284</v>
      </c>
      <c r="F7" s="251">
        <f t="shared" si="5"/>
        <v>6198.9247311827967</v>
      </c>
      <c r="G7" s="251">
        <f t="shared" si="5"/>
        <v>6266.666666666667</v>
      </c>
      <c r="H7" s="251">
        <f t="shared" si="5"/>
        <v>5086.0215053763441</v>
      </c>
      <c r="I7" s="251">
        <f t="shared" si="5"/>
        <v>2527.7777777777778</v>
      </c>
      <c r="J7" s="251">
        <f t="shared" si="5"/>
        <v>1252.6881720430108</v>
      </c>
      <c r="K7" s="251">
        <f t="shared" si="5"/>
        <v>1381.7204301075269</v>
      </c>
      <c r="L7" s="251">
        <f t="shared" si="5"/>
        <v>4222.2222222222226</v>
      </c>
      <c r="M7" s="251">
        <f t="shared" si="5"/>
        <v>4849.4623655913974</v>
      </c>
      <c r="N7" s="251">
        <f t="shared" si="5"/>
        <v>5461.1111111111104</v>
      </c>
      <c r="O7" s="251">
        <f t="shared" si="5"/>
        <v>3989.2473118279572</v>
      </c>
      <c r="P7" s="342">
        <f t="shared" si="2"/>
        <v>4224.7226489161976</v>
      </c>
    </row>
    <row r="8" spans="1:16">
      <c r="A8" s="243"/>
      <c r="B8" s="248">
        <v>5581150299</v>
      </c>
      <c r="C8" s="259" t="s">
        <v>50</v>
      </c>
      <c r="D8" s="251">
        <f t="shared" ref="D8:O8" si="6">AVERAGE(D56,D103,D153,D203,D253,D303)</f>
        <v>2155.9139784946237</v>
      </c>
      <c r="E8" s="251">
        <f t="shared" si="6"/>
        <v>5898.8095238095239</v>
      </c>
      <c r="F8" s="251">
        <f t="shared" si="6"/>
        <v>5290.322580645161</v>
      </c>
      <c r="G8" s="251">
        <f t="shared" si="6"/>
        <v>6061.1111111111122</v>
      </c>
      <c r="H8" s="251">
        <f t="shared" si="6"/>
        <v>4994.6236559139788</v>
      </c>
      <c r="I8" s="251">
        <f t="shared" si="6"/>
        <v>2444.4444444444448</v>
      </c>
      <c r="J8" s="251">
        <f t="shared" si="6"/>
        <v>2166.6666666666665</v>
      </c>
      <c r="K8" s="251">
        <f t="shared" si="6"/>
        <v>3220.4301075268818</v>
      </c>
      <c r="L8" s="251">
        <f t="shared" si="6"/>
        <v>6000</v>
      </c>
      <c r="M8" s="251">
        <f t="shared" si="6"/>
        <v>6220.4301075268822</v>
      </c>
      <c r="N8" s="251">
        <f t="shared" si="6"/>
        <v>5888.8888888888896</v>
      </c>
      <c r="O8" s="251">
        <f t="shared" si="6"/>
        <v>4774.1935483870975</v>
      </c>
      <c r="P8" s="342">
        <f t="shared" si="2"/>
        <v>4592.9862177846053</v>
      </c>
    </row>
    <row r="9" spans="1:16">
      <c r="A9" s="243"/>
      <c r="B9" s="248">
        <v>5366050936</v>
      </c>
      <c r="C9" s="259" t="s">
        <v>51</v>
      </c>
      <c r="D9" s="251">
        <f t="shared" ref="D9:O9" si="7">AVERAGE(D57,D104,D154,D204,D254,D304)</f>
        <v>790.32258064516134</v>
      </c>
      <c r="E9" s="251">
        <f t="shared" si="7"/>
        <v>2154.761904761905</v>
      </c>
      <c r="F9" s="251">
        <f t="shared" si="7"/>
        <v>924.73118279569883</v>
      </c>
      <c r="G9" s="251">
        <f t="shared" si="7"/>
        <v>905.55555555555554</v>
      </c>
      <c r="H9" s="251">
        <f t="shared" si="7"/>
        <v>822.58064516129036</v>
      </c>
      <c r="I9" s="251">
        <f t="shared" si="7"/>
        <v>333.33333333333337</v>
      </c>
      <c r="J9" s="251">
        <f t="shared" si="7"/>
        <v>397.84946236559136</v>
      </c>
      <c r="K9" s="251">
        <f t="shared" si="7"/>
        <v>645.16129032258061</v>
      </c>
      <c r="L9" s="251">
        <f t="shared" si="7"/>
        <v>2033.3333333333337</v>
      </c>
      <c r="M9" s="251">
        <f t="shared" si="7"/>
        <v>1559.1397849462364</v>
      </c>
      <c r="N9" s="251">
        <f t="shared" si="7"/>
        <v>1488.8888888888887</v>
      </c>
      <c r="O9" s="251">
        <f t="shared" si="7"/>
        <v>2290.322580645161</v>
      </c>
      <c r="P9" s="342">
        <f t="shared" si="2"/>
        <v>1195.4983785628947</v>
      </c>
    </row>
    <row r="10" spans="1:16">
      <c r="A10" s="243"/>
      <c r="B10" s="248">
        <v>2052150585</v>
      </c>
      <c r="C10" s="259" t="s">
        <v>52</v>
      </c>
      <c r="D10" s="251">
        <f t="shared" ref="D10:O10" si="8">AVERAGE(D58,D105,D155,D205,D255,D305)</f>
        <v>3666.6666666666665</v>
      </c>
      <c r="E10" s="251">
        <f t="shared" si="8"/>
        <v>8857.1428571428569</v>
      </c>
      <c r="F10" s="251">
        <f t="shared" si="8"/>
        <v>7451.6129032258068</v>
      </c>
      <c r="G10" s="251">
        <f t="shared" si="8"/>
        <v>8166.666666666667</v>
      </c>
      <c r="H10" s="251">
        <f t="shared" si="8"/>
        <v>9150.5376344086017</v>
      </c>
      <c r="I10" s="251">
        <f t="shared" si="8"/>
        <v>7305.5555555555547</v>
      </c>
      <c r="J10" s="251">
        <f t="shared" si="8"/>
        <v>10892.473118279571</v>
      </c>
      <c r="K10" s="251">
        <f t="shared" si="8"/>
        <v>11602.150537634408</v>
      </c>
      <c r="L10" s="251">
        <f t="shared" si="8"/>
        <v>16094.444444444445</v>
      </c>
      <c r="M10" s="251">
        <f t="shared" si="8"/>
        <v>13354.838709677419</v>
      </c>
      <c r="N10" s="251">
        <f t="shared" si="8"/>
        <v>8277.7777777777774</v>
      </c>
      <c r="O10" s="251">
        <f t="shared" si="8"/>
        <v>5548.3870967741932</v>
      </c>
      <c r="P10" s="342">
        <f t="shared" si="2"/>
        <v>9197.3544973544977</v>
      </c>
    </row>
    <row r="11" spans="1:16">
      <c r="A11" s="243"/>
      <c r="B11" s="248">
        <v>8635150066</v>
      </c>
      <c r="C11" s="259" t="s">
        <v>53</v>
      </c>
      <c r="D11" s="251">
        <f t="shared" ref="D11:O11" si="9">AVERAGE(D59,D106,D156,D206,D256,D306)</f>
        <v>134.40860215053763</v>
      </c>
      <c r="E11" s="251">
        <f t="shared" si="9"/>
        <v>392.85714285714289</v>
      </c>
      <c r="F11" s="251">
        <f t="shared" si="9"/>
        <v>241.93548387096772</v>
      </c>
      <c r="G11" s="251">
        <f t="shared" si="9"/>
        <v>277.77777777777777</v>
      </c>
      <c r="H11" s="251">
        <f t="shared" si="9"/>
        <v>392.47311827956992</v>
      </c>
      <c r="I11" s="251">
        <f t="shared" si="9"/>
        <v>288.88888888888891</v>
      </c>
      <c r="J11" s="251">
        <f t="shared" si="9"/>
        <v>1123.6559139784947</v>
      </c>
      <c r="K11" s="251">
        <f t="shared" si="9"/>
        <v>112.9032258064516</v>
      </c>
      <c r="L11" s="251">
        <f t="shared" si="9"/>
        <v>694.44444444444434</v>
      </c>
      <c r="M11" s="251">
        <f t="shared" si="9"/>
        <v>354.83870967741933</v>
      </c>
      <c r="N11" s="251">
        <f t="shared" si="9"/>
        <v>350</v>
      </c>
      <c r="O11" s="251">
        <f t="shared" si="9"/>
        <v>252.68817204301072</v>
      </c>
      <c r="P11" s="342">
        <f t="shared" si="2"/>
        <v>384.73928998122551</v>
      </c>
    </row>
    <row r="12" spans="1:16">
      <c r="A12" s="243"/>
      <c r="B12" s="249">
        <v>6663150208</v>
      </c>
      <c r="C12" s="259" t="s">
        <v>54</v>
      </c>
      <c r="D12" s="251">
        <f t="shared" ref="D12:O12" si="10">AVERAGE(D60,D107,D157,D207,D257,D307)</f>
        <v>564.51612903225805</v>
      </c>
      <c r="E12" s="251">
        <f t="shared" si="10"/>
        <v>892.857142857143</v>
      </c>
      <c r="F12" s="251">
        <f t="shared" si="10"/>
        <v>768.81720430107532</v>
      </c>
      <c r="G12" s="251">
        <f t="shared" si="10"/>
        <v>711.11111111111097</v>
      </c>
      <c r="H12" s="251">
        <f t="shared" si="10"/>
        <v>655.91397849462362</v>
      </c>
      <c r="I12" s="251">
        <f t="shared" si="10"/>
        <v>361.11111111111109</v>
      </c>
      <c r="J12" s="251">
        <f t="shared" si="10"/>
        <v>344.08602150537632</v>
      </c>
      <c r="K12" s="251">
        <f t="shared" si="10"/>
        <v>413.97849462365588</v>
      </c>
      <c r="L12" s="251">
        <f t="shared" si="10"/>
        <v>611.11111111111109</v>
      </c>
      <c r="M12" s="251">
        <f t="shared" si="10"/>
        <v>838.70967741935476</v>
      </c>
      <c r="N12" s="251">
        <f t="shared" si="10"/>
        <v>861.11111111111097</v>
      </c>
      <c r="O12" s="251">
        <f t="shared" si="10"/>
        <v>779.56989247311822</v>
      </c>
      <c r="P12" s="342">
        <f t="shared" si="2"/>
        <v>650.24108209592089</v>
      </c>
    </row>
    <row r="13" spans="1:16">
      <c r="A13" s="243"/>
      <c r="B13" s="248">
        <v>6068150813</v>
      </c>
      <c r="C13" s="259" t="s">
        <v>55</v>
      </c>
      <c r="D13" s="251">
        <f t="shared" ref="D13:O13" si="11">AVERAGE(D61,D108,D158,D208,D258,D308)</f>
        <v>306.45161290322579</v>
      </c>
      <c r="E13" s="251">
        <f t="shared" si="11"/>
        <v>785.71428571428567</v>
      </c>
      <c r="F13" s="251">
        <f t="shared" si="11"/>
        <v>602.15053763440858</v>
      </c>
      <c r="G13" s="251">
        <f t="shared" si="11"/>
        <v>750</v>
      </c>
      <c r="H13" s="251">
        <f t="shared" si="11"/>
        <v>2526.8817204301076</v>
      </c>
      <c r="I13" s="251">
        <f t="shared" si="11"/>
        <v>2977.7777777777778</v>
      </c>
      <c r="J13" s="251">
        <f t="shared" si="11"/>
        <v>6908.6021505376348</v>
      </c>
      <c r="K13" s="251">
        <f t="shared" si="11"/>
        <v>6064.5161290322576</v>
      </c>
      <c r="L13" s="251">
        <f t="shared" si="11"/>
        <v>6477.7777777777783</v>
      </c>
      <c r="M13" s="251">
        <f t="shared" si="11"/>
        <v>4645.1612903225805</v>
      </c>
      <c r="N13" s="251">
        <f t="shared" si="11"/>
        <v>1811.1111111111111</v>
      </c>
      <c r="O13" s="251">
        <f t="shared" si="11"/>
        <v>548.38709677419354</v>
      </c>
      <c r="P13" s="342">
        <f t="shared" si="2"/>
        <v>2867.0442908346135</v>
      </c>
    </row>
    <row r="14" spans="1:16">
      <c r="A14" s="243"/>
      <c r="B14" s="249">
        <v>5068150812</v>
      </c>
      <c r="C14" s="259" t="s">
        <v>56</v>
      </c>
      <c r="D14" s="251">
        <f t="shared" ref="D14:O14" si="12">AVERAGE(D62,D109,D159,D209,D259,D309)</f>
        <v>145.16129032258064</v>
      </c>
      <c r="E14" s="251">
        <f t="shared" si="12"/>
        <v>452.38095238095235</v>
      </c>
      <c r="F14" s="251">
        <f t="shared" si="12"/>
        <v>349.46236559139783</v>
      </c>
      <c r="G14" s="251">
        <f t="shared" si="12"/>
        <v>355.5555555555556</v>
      </c>
      <c r="H14" s="251">
        <f t="shared" si="12"/>
        <v>263.44086021505376</v>
      </c>
      <c r="I14" s="251">
        <f t="shared" si="12"/>
        <v>172.22222222222226</v>
      </c>
      <c r="J14" s="251">
        <f t="shared" si="12"/>
        <v>322.58064516129031</v>
      </c>
      <c r="K14" s="251">
        <f t="shared" si="12"/>
        <v>360.21505376344084</v>
      </c>
      <c r="L14" s="251">
        <f t="shared" si="12"/>
        <v>455.5555555555556</v>
      </c>
      <c r="M14" s="251">
        <f t="shared" si="12"/>
        <v>462.36559139784953</v>
      </c>
      <c r="N14" s="251">
        <f t="shared" si="12"/>
        <v>1105.5555555555554</v>
      </c>
      <c r="O14" s="251">
        <f t="shared" si="12"/>
        <v>279.56989247311827</v>
      </c>
      <c r="P14" s="342">
        <f t="shared" si="2"/>
        <v>393.67212834954779</v>
      </c>
    </row>
    <row r="15" spans="1:16">
      <c r="A15" s="243"/>
      <c r="B15" s="249">
        <v>2364150700</v>
      </c>
      <c r="C15" s="259" t="s">
        <v>57</v>
      </c>
      <c r="D15" s="251">
        <f t="shared" ref="D15:O15" si="13">AVERAGE(D63,D110,D160,D210,D260,D310)</f>
        <v>1032.258064516129</v>
      </c>
      <c r="E15" s="251">
        <f t="shared" si="13"/>
        <v>1839.2857142857144</v>
      </c>
      <c r="F15" s="251">
        <f t="shared" si="13"/>
        <v>1645.1612903225807</v>
      </c>
      <c r="G15" s="251">
        <f t="shared" si="13"/>
        <v>1122.2222222222222</v>
      </c>
      <c r="H15" s="251">
        <f t="shared" si="13"/>
        <v>1172.0430107526881</v>
      </c>
      <c r="I15" s="251">
        <f t="shared" si="13"/>
        <v>1027.7777777777776</v>
      </c>
      <c r="J15" s="251">
        <f t="shared" si="13"/>
        <v>1139.7849462365591</v>
      </c>
      <c r="K15" s="251">
        <f t="shared" si="13"/>
        <v>1274.1935483870968</v>
      </c>
      <c r="L15" s="251">
        <f t="shared" si="13"/>
        <v>1883.333333333333</v>
      </c>
      <c r="M15" s="251">
        <f t="shared" si="13"/>
        <v>1677.4193548387095</v>
      </c>
      <c r="N15" s="251">
        <f t="shared" si="13"/>
        <v>1594.4444444444443</v>
      </c>
      <c r="O15" s="251">
        <f t="shared" si="13"/>
        <v>1252.6881720430108</v>
      </c>
      <c r="P15" s="342">
        <f t="shared" si="2"/>
        <v>1388.3843232633553</v>
      </c>
    </row>
    <row r="16" spans="1:16">
      <c r="A16" s="243"/>
      <c r="B16" s="249">
        <v>1364150699</v>
      </c>
      <c r="C16" s="259" t="s">
        <v>58</v>
      </c>
      <c r="D16" s="251">
        <f t="shared" ref="D16:O16" si="14">AVERAGE(D64,D111,D161,D211,D261,D311)</f>
        <v>543.01075268817215</v>
      </c>
      <c r="E16" s="251">
        <f t="shared" si="14"/>
        <v>2863.0952380952381</v>
      </c>
      <c r="F16" s="251">
        <f t="shared" si="14"/>
        <v>2134.4086021505373</v>
      </c>
      <c r="G16" s="251">
        <f t="shared" si="14"/>
        <v>2116.6666666666665</v>
      </c>
      <c r="H16" s="251">
        <f t="shared" si="14"/>
        <v>1736.5591397849464</v>
      </c>
      <c r="I16" s="251">
        <f t="shared" si="14"/>
        <v>1500</v>
      </c>
      <c r="J16" s="251">
        <f t="shared" si="14"/>
        <v>3134.4086021505377</v>
      </c>
      <c r="K16" s="251">
        <f t="shared" si="14"/>
        <v>3935.483870967742</v>
      </c>
      <c r="L16" s="251">
        <f t="shared" si="14"/>
        <v>5750</v>
      </c>
      <c r="M16" s="251">
        <f t="shared" si="14"/>
        <v>4392.4731182795695</v>
      </c>
      <c r="N16" s="251">
        <f t="shared" si="14"/>
        <v>2783.3333333333335</v>
      </c>
      <c r="O16" s="251">
        <f t="shared" si="14"/>
        <v>1747.3118279569896</v>
      </c>
      <c r="P16" s="342">
        <f t="shared" si="2"/>
        <v>2719.7292626728108</v>
      </c>
    </row>
    <row r="17" spans="1:16">
      <c r="A17" s="243"/>
      <c r="B17" s="248">
        <v>2068150809</v>
      </c>
      <c r="C17" s="259">
        <v>429985</v>
      </c>
      <c r="D17" s="251">
        <f t="shared" ref="D17:O17" si="15">AVERAGE(D65,D112,D162,D212,D262,D312)</f>
        <v>5.376344086021505</v>
      </c>
      <c r="E17" s="251">
        <f t="shared" si="15"/>
        <v>41.666666666666664</v>
      </c>
      <c r="F17" s="251">
        <f t="shared" si="15"/>
        <v>69.892473118279568</v>
      </c>
      <c r="G17" s="251">
        <f t="shared" si="15"/>
        <v>38.888888888888893</v>
      </c>
      <c r="H17" s="251">
        <f t="shared" si="15"/>
        <v>43.01075268817204</v>
      </c>
      <c r="I17" s="251">
        <f t="shared" si="15"/>
        <v>16.666666666666668</v>
      </c>
      <c r="J17" s="251">
        <f t="shared" si="15"/>
        <v>26.881720430107524</v>
      </c>
      <c r="K17" s="251">
        <f t="shared" si="15"/>
        <v>26.881720430107524</v>
      </c>
      <c r="L17" s="251">
        <f t="shared" si="15"/>
        <v>33.333333333333336</v>
      </c>
      <c r="M17" s="251">
        <f t="shared" si="15"/>
        <v>37.634408602150536</v>
      </c>
      <c r="N17" s="251">
        <f t="shared" si="15"/>
        <v>33.333333333333336</v>
      </c>
      <c r="O17" s="251">
        <f t="shared" si="15"/>
        <v>32.258064516129032</v>
      </c>
      <c r="P17" s="342">
        <f t="shared" si="2"/>
        <v>33.818697729988045</v>
      </c>
    </row>
    <row r="18" spans="1:16">
      <c r="A18" s="243"/>
      <c r="B18" s="248">
        <v>5756250297</v>
      </c>
      <c r="C18" s="258" t="s">
        <v>60</v>
      </c>
      <c r="D18" s="251">
        <f t="shared" ref="D18:O18" si="16">AVERAGE(D66,D113,D163,D213,D263,D313)</f>
        <v>2586.0215053763441</v>
      </c>
      <c r="E18" s="251">
        <f t="shared" si="16"/>
        <v>4136.9047619047624</v>
      </c>
      <c r="F18" s="251">
        <f t="shared" si="16"/>
        <v>3553.7634408602148</v>
      </c>
      <c r="G18" s="251">
        <f t="shared" si="16"/>
        <v>4911.1111111111104</v>
      </c>
      <c r="H18" s="251">
        <f t="shared" si="16"/>
        <v>4526.8817204301076</v>
      </c>
      <c r="I18" s="251">
        <f t="shared" si="16"/>
        <v>4394.4444444444443</v>
      </c>
      <c r="J18" s="251">
        <f t="shared" si="16"/>
        <v>5983.8709677419356</v>
      </c>
      <c r="K18" s="251">
        <f t="shared" si="16"/>
        <v>20215.053763440857</v>
      </c>
      <c r="L18" s="251">
        <f t="shared" si="16"/>
        <v>14761.111111111111</v>
      </c>
      <c r="M18" s="251">
        <f t="shared" si="16"/>
        <v>11500</v>
      </c>
      <c r="N18" s="251">
        <f t="shared" si="16"/>
        <v>9055.5555555555566</v>
      </c>
      <c r="O18" s="251">
        <f t="shared" si="16"/>
        <v>6758.0645161290313</v>
      </c>
      <c r="P18" s="342">
        <f t="shared" si="2"/>
        <v>7698.5652415087898</v>
      </c>
    </row>
    <row r="19" spans="1:16">
      <c r="A19" s="243"/>
      <c r="B19" s="222">
        <v>1665911804</v>
      </c>
      <c r="C19" s="322" t="s">
        <v>61</v>
      </c>
      <c r="D19" s="325">
        <f>AVERAGE(D114,D164,D214,D264,D314)</f>
        <v>748.38709677419354</v>
      </c>
      <c r="E19" s="325">
        <f t="shared" ref="E19:O19" si="17">AVERAGE(E114,E164,E214,E264,E314)</f>
        <v>2371.4285714285716</v>
      </c>
      <c r="F19" s="325">
        <f t="shared" si="17"/>
        <v>2206.4516129032259</v>
      </c>
      <c r="G19" s="325">
        <f t="shared" si="17"/>
        <v>2326.666666666667</v>
      </c>
      <c r="H19" s="325">
        <f t="shared" si="17"/>
        <v>2374.1935483870971</v>
      </c>
      <c r="I19" s="325">
        <f t="shared" si="17"/>
        <v>2633.333333333333</v>
      </c>
      <c r="J19" s="325">
        <f t="shared" si="17"/>
        <v>3277.4193548387098</v>
      </c>
      <c r="K19" s="325">
        <f t="shared" si="17"/>
        <v>4083.8709677419347</v>
      </c>
      <c r="L19" s="325">
        <f t="shared" si="17"/>
        <v>4873.3333333333339</v>
      </c>
      <c r="M19" s="325">
        <f t="shared" si="17"/>
        <v>4367.7419354838712</v>
      </c>
      <c r="N19" s="325">
        <f t="shared" si="17"/>
        <v>3300</v>
      </c>
      <c r="O19" s="325">
        <f t="shared" si="17"/>
        <v>2541.9354838709678</v>
      </c>
      <c r="P19" s="342">
        <f t="shared" si="2"/>
        <v>2925.3968253968255</v>
      </c>
    </row>
    <row r="20" spans="1:16">
      <c r="A20" s="243"/>
      <c r="B20" s="249">
        <v>3054467971</v>
      </c>
      <c r="C20" s="258" t="s">
        <v>62</v>
      </c>
      <c r="D20" s="251">
        <f>AVERAGE(D67,D115,D165,D215,D265,D315)</f>
        <v>456.98924731182791</v>
      </c>
      <c r="E20" s="330">
        <f t="shared" ref="E20:O20" si="18">AVERAGE(E67,E115,E165,E215,E265,E315)</f>
        <v>934.52380952380952</v>
      </c>
      <c r="F20" s="330">
        <f t="shared" si="18"/>
        <v>870.9677419354839</v>
      </c>
      <c r="G20" s="330">
        <f t="shared" si="18"/>
        <v>805.55555555555554</v>
      </c>
      <c r="H20" s="330">
        <f t="shared" si="18"/>
        <v>763.4408602150537</v>
      </c>
      <c r="I20" s="330">
        <f t="shared" si="18"/>
        <v>644.44444444444446</v>
      </c>
      <c r="J20" s="330">
        <f t="shared" si="18"/>
        <v>763.44086021505382</v>
      </c>
      <c r="K20" s="330">
        <f t="shared" si="18"/>
        <v>666.66666666666663</v>
      </c>
      <c r="L20" s="330">
        <f t="shared" si="18"/>
        <v>883.33333333333337</v>
      </c>
      <c r="M20" s="330">
        <f t="shared" si="18"/>
        <v>903.22580645161304</v>
      </c>
      <c r="N20" s="330">
        <f t="shared" si="18"/>
        <v>1005.5555555555555</v>
      </c>
      <c r="O20" s="330">
        <f t="shared" si="18"/>
        <v>747.3118279569893</v>
      </c>
      <c r="P20" s="342">
        <f>AVERAGE(D20:O20)</f>
        <v>787.12130909711561</v>
      </c>
    </row>
    <row r="21" spans="1:16">
      <c r="A21" s="243"/>
      <c r="B21" s="222">
        <v>3380811569</v>
      </c>
      <c r="C21" s="322" t="s">
        <v>63</v>
      </c>
      <c r="D21" s="325">
        <f t="shared" ref="D21:O21" si="19">AVERAGE(D116,D166,D216,D266,D316)</f>
        <v>0</v>
      </c>
      <c r="E21" s="325">
        <f t="shared" si="19"/>
        <v>14.285714285714286</v>
      </c>
      <c r="F21" s="325">
        <f t="shared" si="19"/>
        <v>12.903225806451612</v>
      </c>
      <c r="G21" s="325">
        <f t="shared" si="19"/>
        <v>6.666666666666667</v>
      </c>
      <c r="H21" s="325">
        <f t="shared" si="19"/>
        <v>12.903225806451612</v>
      </c>
      <c r="I21" s="325">
        <f t="shared" si="19"/>
        <v>6.666666666666667</v>
      </c>
      <c r="J21" s="325">
        <f t="shared" si="19"/>
        <v>25.806451612903224</v>
      </c>
      <c r="K21" s="325">
        <f t="shared" si="19"/>
        <v>6.4516129032258061</v>
      </c>
      <c r="L21" s="325">
        <f t="shared" si="19"/>
        <v>13.333333333333334</v>
      </c>
      <c r="M21" s="325">
        <f t="shared" si="19"/>
        <v>25.806451612903224</v>
      </c>
      <c r="N21" s="325">
        <f t="shared" si="19"/>
        <v>20</v>
      </c>
      <c r="O21" s="325">
        <f t="shared" si="19"/>
        <v>38.709677419354833</v>
      </c>
      <c r="P21" s="342">
        <f t="shared" si="2"/>
        <v>15.294418842805939</v>
      </c>
    </row>
    <row r="22" spans="1:16">
      <c r="A22" s="212"/>
      <c r="B22" s="212"/>
      <c r="C22" s="212"/>
      <c r="D22" s="212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2"/>
    </row>
    <row r="23" spans="1:16">
      <c r="A23" s="212"/>
      <c r="B23" s="212"/>
      <c r="C23" s="212"/>
      <c r="D23" s="212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2"/>
    </row>
    <row r="24" spans="1:16">
      <c r="A24" s="242"/>
      <c r="B24" s="242"/>
      <c r="C24" s="242"/>
      <c r="D24" s="242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2"/>
    </row>
    <row r="25" spans="1:16">
      <c r="A25" s="252" t="s">
        <v>72</v>
      </c>
      <c r="B25" s="244">
        <v>2019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</row>
    <row r="26" spans="1:16" ht="15.75" thickBot="1">
      <c r="A26" s="245" t="s">
        <v>30</v>
      </c>
      <c r="B26" s="246" t="s">
        <v>31</v>
      </c>
      <c r="C26" s="246" t="s">
        <v>32</v>
      </c>
      <c r="D26" s="246" t="s">
        <v>33</v>
      </c>
      <c r="E26" s="246" t="s">
        <v>34</v>
      </c>
      <c r="F26" s="246" t="s">
        <v>35</v>
      </c>
      <c r="G26" s="246" t="s">
        <v>36</v>
      </c>
      <c r="H26" s="246" t="s">
        <v>37</v>
      </c>
      <c r="I26" s="246" t="s">
        <v>38</v>
      </c>
      <c r="J26" s="246" t="s">
        <v>39</v>
      </c>
      <c r="K26" s="246" t="s">
        <v>40</v>
      </c>
      <c r="L26" s="246" t="s">
        <v>41</v>
      </c>
      <c r="M26" s="246" t="s">
        <v>42</v>
      </c>
      <c r="N26" s="246" t="s">
        <v>43</v>
      </c>
      <c r="O26" s="246" t="s">
        <v>44</v>
      </c>
      <c r="P26" s="247" t="s">
        <v>100</v>
      </c>
    </row>
    <row r="27" spans="1:16">
      <c r="A27" s="243"/>
      <c r="B27" s="248">
        <v>7534810685</v>
      </c>
      <c r="C27" s="259" t="s">
        <v>45</v>
      </c>
      <c r="D27" s="251">
        <v>17</v>
      </c>
      <c r="E27" s="251">
        <v>22</v>
      </c>
      <c r="F27" s="251">
        <v>21</v>
      </c>
      <c r="G27" s="251">
        <v>20</v>
      </c>
      <c r="H27" s="251">
        <v>22</v>
      </c>
      <c r="I27" s="251">
        <v>17</v>
      </c>
      <c r="J27" s="251">
        <v>15</v>
      </c>
      <c r="K27" s="251">
        <v>16</v>
      </c>
      <c r="L27" s="251">
        <v>17</v>
      </c>
      <c r="M27" s="251">
        <v>16</v>
      </c>
      <c r="N27" s="251">
        <v>14</v>
      </c>
      <c r="O27" s="251">
        <v>13</v>
      </c>
      <c r="P27" s="257">
        <f>SUM(D27:O27)</f>
        <v>210</v>
      </c>
    </row>
    <row r="28" spans="1:16">
      <c r="A28" s="243"/>
      <c r="B28" s="248">
        <v>4366050935</v>
      </c>
      <c r="C28" s="259" t="s">
        <v>46</v>
      </c>
      <c r="D28" s="251">
        <v>5</v>
      </c>
      <c r="E28" s="251">
        <v>24</v>
      </c>
      <c r="F28" s="251">
        <v>20</v>
      </c>
      <c r="G28" s="251">
        <v>28</v>
      </c>
      <c r="H28" s="251">
        <v>19</v>
      </c>
      <c r="I28" s="251">
        <v>3</v>
      </c>
      <c r="J28" s="251">
        <v>9</v>
      </c>
      <c r="K28" s="251">
        <v>28</v>
      </c>
      <c r="L28" s="251">
        <v>22</v>
      </c>
      <c r="M28" s="251">
        <v>26</v>
      </c>
      <c r="N28" s="251">
        <v>25</v>
      </c>
      <c r="O28" s="251">
        <v>20</v>
      </c>
      <c r="P28" s="257">
        <v>229</v>
      </c>
    </row>
    <row r="29" spans="1:16">
      <c r="A29" s="243"/>
      <c r="B29" s="248">
        <v>6366050937</v>
      </c>
      <c r="C29" s="259" t="s">
        <v>47</v>
      </c>
      <c r="D29" s="251">
        <v>8</v>
      </c>
      <c r="E29" s="251">
        <v>32</v>
      </c>
      <c r="F29" s="251">
        <v>26</v>
      </c>
      <c r="G29" s="251">
        <v>35</v>
      </c>
      <c r="H29" s="251">
        <v>28</v>
      </c>
      <c r="I29" s="251">
        <v>6</v>
      </c>
      <c r="J29" s="251">
        <v>5</v>
      </c>
      <c r="K29" s="251">
        <v>2</v>
      </c>
      <c r="L29" s="251">
        <v>28</v>
      </c>
      <c r="M29" s="251">
        <v>48</v>
      </c>
      <c r="N29" s="251">
        <v>36</v>
      </c>
      <c r="O29" s="251">
        <v>30</v>
      </c>
      <c r="P29" s="257">
        <v>284</v>
      </c>
    </row>
    <row r="30" spans="1:16">
      <c r="A30" s="243"/>
      <c r="B30" s="248">
        <v>7366050938</v>
      </c>
      <c r="C30" s="259" t="s">
        <v>48</v>
      </c>
      <c r="D30" s="251">
        <v>27</v>
      </c>
      <c r="E30" s="251">
        <v>46</v>
      </c>
      <c r="F30" s="251">
        <v>56</v>
      </c>
      <c r="G30" s="251">
        <v>45</v>
      </c>
      <c r="H30" s="251">
        <v>42</v>
      </c>
      <c r="I30" s="251">
        <v>45</v>
      </c>
      <c r="J30" s="251">
        <v>35</v>
      </c>
      <c r="K30" s="251">
        <v>38</v>
      </c>
      <c r="L30" s="251">
        <v>41</v>
      </c>
      <c r="M30" s="251">
        <v>48</v>
      </c>
      <c r="N30" s="251">
        <v>46</v>
      </c>
      <c r="O30" s="251">
        <v>40</v>
      </c>
      <c r="P30" s="257">
        <v>509</v>
      </c>
    </row>
    <row r="31" spans="1:16">
      <c r="A31" s="243"/>
      <c r="B31" s="248">
        <v>3366050934</v>
      </c>
      <c r="C31" s="259" t="s">
        <v>49</v>
      </c>
      <c r="D31" s="251">
        <v>379</v>
      </c>
      <c r="E31" s="251">
        <v>315</v>
      </c>
      <c r="F31" s="251">
        <v>301</v>
      </c>
      <c r="G31" s="251">
        <v>308</v>
      </c>
      <c r="H31" s="251">
        <v>316</v>
      </c>
      <c r="I31" s="251">
        <v>205</v>
      </c>
      <c r="J31" s="251">
        <v>77</v>
      </c>
      <c r="K31" s="251">
        <v>81</v>
      </c>
      <c r="L31" s="251">
        <v>240</v>
      </c>
      <c r="M31" s="251">
        <v>279</v>
      </c>
      <c r="N31" s="251">
        <v>254</v>
      </c>
      <c r="O31" s="251">
        <v>161</v>
      </c>
      <c r="P31" s="257">
        <v>2916</v>
      </c>
    </row>
    <row r="32" spans="1:16">
      <c r="A32" s="243"/>
      <c r="B32" s="248">
        <v>5581150299</v>
      </c>
      <c r="C32" s="259" t="s">
        <v>50</v>
      </c>
      <c r="D32" s="251">
        <v>37</v>
      </c>
      <c r="E32" s="251">
        <v>142</v>
      </c>
      <c r="F32" s="251">
        <v>143</v>
      </c>
      <c r="G32" s="251">
        <v>146</v>
      </c>
      <c r="H32" s="251">
        <v>137</v>
      </c>
      <c r="I32" s="251">
        <v>59</v>
      </c>
      <c r="J32" s="251">
        <v>115</v>
      </c>
      <c r="K32" s="251">
        <v>248</v>
      </c>
      <c r="L32" s="251">
        <v>274</v>
      </c>
      <c r="M32" s="251">
        <v>197</v>
      </c>
      <c r="N32" s="251">
        <v>102</v>
      </c>
      <c r="O32" s="251">
        <v>89</v>
      </c>
      <c r="P32" s="257">
        <v>1689</v>
      </c>
    </row>
    <row r="33" spans="1:16">
      <c r="A33" s="243"/>
      <c r="B33" s="248">
        <v>5366050936</v>
      </c>
      <c r="C33" s="259" t="s">
        <v>51</v>
      </c>
      <c r="D33" s="251">
        <v>11</v>
      </c>
      <c r="E33" s="251">
        <v>34</v>
      </c>
      <c r="F33" s="251">
        <v>38</v>
      </c>
      <c r="G33" s="251">
        <v>37</v>
      </c>
      <c r="H33" s="251">
        <v>35</v>
      </c>
      <c r="I33" s="251">
        <v>9</v>
      </c>
      <c r="J33" s="251">
        <v>10</v>
      </c>
      <c r="K33" s="251">
        <v>1</v>
      </c>
      <c r="L33" s="251">
        <v>18</v>
      </c>
      <c r="M33" s="251">
        <v>27</v>
      </c>
      <c r="N33" s="251">
        <v>28</v>
      </c>
      <c r="O33" s="251">
        <v>24</v>
      </c>
      <c r="P33" s="257">
        <v>272</v>
      </c>
    </row>
    <row r="34" spans="1:16">
      <c r="A34" s="243"/>
      <c r="B34" s="248">
        <v>2052150585</v>
      </c>
      <c r="C34" s="259" t="s">
        <v>52</v>
      </c>
      <c r="D34" s="251">
        <v>374</v>
      </c>
      <c r="E34" s="251">
        <v>554</v>
      </c>
      <c r="F34" s="251">
        <v>509</v>
      </c>
      <c r="G34" s="251">
        <v>504</v>
      </c>
      <c r="H34" s="251">
        <v>360</v>
      </c>
      <c r="I34" s="251">
        <v>187</v>
      </c>
      <c r="J34" s="251">
        <v>250</v>
      </c>
      <c r="K34" s="251">
        <v>337</v>
      </c>
      <c r="L34" s="251">
        <v>421</v>
      </c>
      <c r="M34" s="251">
        <v>452</v>
      </c>
      <c r="N34" s="251">
        <v>240</v>
      </c>
      <c r="O34" s="251">
        <v>218</v>
      </c>
      <c r="P34" s="257">
        <v>4406</v>
      </c>
    </row>
    <row r="35" spans="1:16">
      <c r="A35" s="243"/>
      <c r="B35" s="248">
        <v>8635150066</v>
      </c>
      <c r="C35" s="259" t="s">
        <v>53</v>
      </c>
      <c r="D35" s="251">
        <v>1</v>
      </c>
      <c r="E35" s="251">
        <v>6</v>
      </c>
      <c r="F35" s="251">
        <v>6</v>
      </c>
      <c r="G35" s="251">
        <v>5</v>
      </c>
      <c r="H35" s="251">
        <v>4</v>
      </c>
      <c r="I35" s="251">
        <v>3</v>
      </c>
      <c r="J35" s="251">
        <v>3</v>
      </c>
      <c r="K35" s="251">
        <v>3</v>
      </c>
      <c r="L35" s="251">
        <v>4</v>
      </c>
      <c r="M35" s="251">
        <v>5</v>
      </c>
      <c r="N35" s="251">
        <v>4</v>
      </c>
      <c r="O35" s="251">
        <v>3</v>
      </c>
      <c r="P35" s="257">
        <v>47</v>
      </c>
    </row>
    <row r="36" spans="1:16">
      <c r="A36" s="243"/>
      <c r="B36" s="249">
        <v>6663150208</v>
      </c>
      <c r="C36" s="259" t="s">
        <v>54</v>
      </c>
      <c r="D36" s="251">
        <v>20</v>
      </c>
      <c r="E36" s="251">
        <v>47</v>
      </c>
      <c r="F36" s="251">
        <v>36</v>
      </c>
      <c r="G36" s="251">
        <v>40</v>
      </c>
      <c r="H36" s="251">
        <v>40</v>
      </c>
      <c r="I36" s="251">
        <v>21</v>
      </c>
      <c r="J36" s="251">
        <v>19</v>
      </c>
      <c r="K36" s="251">
        <v>18</v>
      </c>
      <c r="L36" s="251">
        <v>21</v>
      </c>
      <c r="M36" s="251">
        <v>35</v>
      </c>
      <c r="N36" s="251">
        <v>39</v>
      </c>
      <c r="O36" s="251">
        <v>34</v>
      </c>
      <c r="P36" s="257">
        <v>370</v>
      </c>
    </row>
    <row r="37" spans="1:16">
      <c r="A37" s="243"/>
      <c r="B37" s="248">
        <v>6068150813</v>
      </c>
      <c r="C37" s="259" t="s">
        <v>55</v>
      </c>
      <c r="D37" s="251">
        <v>6</v>
      </c>
      <c r="E37" s="251">
        <v>28</v>
      </c>
      <c r="F37" s="251">
        <v>24</v>
      </c>
      <c r="G37" s="251">
        <v>29</v>
      </c>
      <c r="H37" s="251">
        <v>72</v>
      </c>
      <c r="I37" s="251">
        <v>145</v>
      </c>
      <c r="J37" s="251">
        <v>183</v>
      </c>
      <c r="K37" s="251">
        <v>228</v>
      </c>
      <c r="L37" s="251">
        <v>188</v>
      </c>
      <c r="M37" s="251">
        <v>174</v>
      </c>
      <c r="N37" s="251">
        <v>56</v>
      </c>
      <c r="O37" s="251">
        <v>23</v>
      </c>
      <c r="P37" s="257">
        <v>1156</v>
      </c>
    </row>
    <row r="38" spans="1:16">
      <c r="A38" s="243"/>
      <c r="B38" s="249">
        <v>5068150812</v>
      </c>
      <c r="C38" s="259" t="s">
        <v>56</v>
      </c>
      <c r="D38" s="251">
        <v>7</v>
      </c>
      <c r="E38" s="251">
        <v>18</v>
      </c>
      <c r="F38" s="251">
        <v>16</v>
      </c>
      <c r="G38" s="251">
        <v>22</v>
      </c>
      <c r="H38" s="251">
        <v>14</v>
      </c>
      <c r="I38" s="251">
        <v>9</v>
      </c>
      <c r="J38" s="251">
        <v>9</v>
      </c>
      <c r="K38" s="251">
        <v>31</v>
      </c>
      <c r="L38" s="251">
        <v>30</v>
      </c>
      <c r="M38" s="251">
        <v>28</v>
      </c>
      <c r="N38" s="251">
        <v>19</v>
      </c>
      <c r="O38" s="251">
        <v>13</v>
      </c>
      <c r="P38" s="257">
        <v>216</v>
      </c>
    </row>
    <row r="39" spans="1:16">
      <c r="A39" s="243"/>
      <c r="B39" s="249">
        <v>2364150700</v>
      </c>
      <c r="C39" s="259" t="s">
        <v>57</v>
      </c>
      <c r="D39" s="251">
        <v>43</v>
      </c>
      <c r="E39" s="251">
        <v>77</v>
      </c>
      <c r="F39" s="251">
        <v>52</v>
      </c>
      <c r="G39" s="251">
        <v>47</v>
      </c>
      <c r="H39" s="251">
        <v>53</v>
      </c>
      <c r="I39" s="251">
        <v>36</v>
      </c>
      <c r="J39" s="251">
        <v>33</v>
      </c>
      <c r="K39" s="251">
        <v>47</v>
      </c>
      <c r="L39" s="251">
        <v>57</v>
      </c>
      <c r="M39" s="251">
        <v>73</v>
      </c>
      <c r="N39" s="251">
        <v>54</v>
      </c>
      <c r="O39" s="251">
        <v>51</v>
      </c>
      <c r="P39" s="257">
        <v>623</v>
      </c>
    </row>
    <row r="40" spans="1:16">
      <c r="A40" s="243"/>
      <c r="B40" s="249">
        <v>1364150699</v>
      </c>
      <c r="C40" s="259" t="s">
        <v>58</v>
      </c>
      <c r="D40" s="251">
        <v>30</v>
      </c>
      <c r="E40" s="251">
        <v>117</v>
      </c>
      <c r="F40" s="251">
        <v>103</v>
      </c>
      <c r="G40" s="251">
        <v>125</v>
      </c>
      <c r="H40" s="251">
        <v>113</v>
      </c>
      <c r="I40" s="251">
        <v>85</v>
      </c>
      <c r="J40" s="251">
        <v>118</v>
      </c>
      <c r="K40" s="251">
        <v>143</v>
      </c>
      <c r="L40" s="251">
        <v>158</v>
      </c>
      <c r="M40" s="251">
        <v>184</v>
      </c>
      <c r="N40" s="251">
        <v>123</v>
      </c>
      <c r="O40" s="251">
        <v>101</v>
      </c>
      <c r="P40" s="257">
        <v>1400</v>
      </c>
    </row>
    <row r="41" spans="1:16">
      <c r="A41" s="243"/>
      <c r="B41" s="248">
        <v>2068150809</v>
      </c>
      <c r="C41" s="259">
        <v>429985</v>
      </c>
      <c r="D41" s="251">
        <v>0</v>
      </c>
      <c r="E41" s="251">
        <v>2</v>
      </c>
      <c r="F41" s="251">
        <v>1</v>
      </c>
      <c r="G41" s="251">
        <v>1</v>
      </c>
      <c r="H41" s="251">
        <v>1</v>
      </c>
      <c r="I41" s="251">
        <v>1</v>
      </c>
      <c r="J41" s="251">
        <v>1</v>
      </c>
      <c r="K41" s="251">
        <v>1</v>
      </c>
      <c r="L41" s="251">
        <v>1</v>
      </c>
      <c r="M41" s="251">
        <v>2</v>
      </c>
      <c r="N41" s="251">
        <v>1</v>
      </c>
      <c r="O41" s="251">
        <v>1</v>
      </c>
      <c r="P41" s="257">
        <v>13</v>
      </c>
    </row>
    <row r="42" spans="1:16">
      <c r="A42" s="243"/>
      <c r="B42" s="248">
        <v>5756250297</v>
      </c>
      <c r="C42" s="258" t="s">
        <v>60</v>
      </c>
      <c r="D42" s="251">
        <v>6</v>
      </c>
      <c r="E42" s="251">
        <v>9</v>
      </c>
      <c r="F42" s="251">
        <v>15</v>
      </c>
      <c r="G42" s="251">
        <v>18</v>
      </c>
      <c r="H42" s="251">
        <v>22</v>
      </c>
      <c r="I42" s="251">
        <v>18</v>
      </c>
      <c r="J42" s="251">
        <v>21</v>
      </c>
      <c r="K42" s="251">
        <v>19</v>
      </c>
      <c r="L42" s="251">
        <v>23</v>
      </c>
      <c r="M42" s="251">
        <v>26</v>
      </c>
      <c r="N42" s="251">
        <v>33</v>
      </c>
      <c r="O42" s="251">
        <v>15</v>
      </c>
      <c r="P42" s="257">
        <v>225</v>
      </c>
    </row>
    <row r="43" spans="1:16">
      <c r="A43" s="243"/>
      <c r="B43" s="249">
        <v>3054467971</v>
      </c>
      <c r="C43" s="258" t="s">
        <v>62</v>
      </c>
      <c r="D43" s="251">
        <v>22</v>
      </c>
      <c r="E43" s="251">
        <v>39</v>
      </c>
      <c r="F43" s="251">
        <v>38</v>
      </c>
      <c r="G43" s="251">
        <v>43</v>
      </c>
      <c r="H43" s="251">
        <v>41</v>
      </c>
      <c r="I43" s="251">
        <v>29</v>
      </c>
      <c r="J43" s="251">
        <v>33</v>
      </c>
      <c r="K43" s="251">
        <v>29</v>
      </c>
      <c r="L43" s="251">
        <v>32</v>
      </c>
      <c r="M43" s="251">
        <v>41</v>
      </c>
      <c r="N43" s="251">
        <v>39</v>
      </c>
      <c r="O43" s="251">
        <v>33</v>
      </c>
      <c r="P43" s="257">
        <v>419</v>
      </c>
    </row>
    <row r="44" spans="1:16">
      <c r="A44" s="243"/>
      <c r="B44" s="243"/>
      <c r="C44" s="243"/>
      <c r="D44" s="256">
        <f>SUM(D27:D43)</f>
        <v>993</v>
      </c>
      <c r="E44" s="332">
        <f t="shared" ref="E44:P44" si="20">SUM(E27:E43)</f>
        <v>1512</v>
      </c>
      <c r="F44" s="332">
        <f t="shared" si="20"/>
        <v>1405</v>
      </c>
      <c r="G44" s="332">
        <f t="shared" si="20"/>
        <v>1453</v>
      </c>
      <c r="H44" s="332">
        <f t="shared" si="20"/>
        <v>1319</v>
      </c>
      <c r="I44" s="332">
        <f t="shared" si="20"/>
        <v>878</v>
      </c>
      <c r="J44" s="332">
        <f t="shared" si="20"/>
        <v>936</v>
      </c>
      <c r="K44" s="332">
        <f t="shared" si="20"/>
        <v>1270</v>
      </c>
      <c r="L44" s="332">
        <f t="shared" si="20"/>
        <v>1575</v>
      </c>
      <c r="M44" s="332">
        <f t="shared" si="20"/>
        <v>1661</v>
      </c>
      <c r="N44" s="332">
        <f t="shared" si="20"/>
        <v>1113</v>
      </c>
      <c r="O44" s="332">
        <f t="shared" si="20"/>
        <v>869</v>
      </c>
      <c r="P44" s="332">
        <f t="shared" si="20"/>
        <v>14984</v>
      </c>
    </row>
    <row r="45" spans="1:16">
      <c r="A45" s="212"/>
      <c r="B45" s="212"/>
      <c r="C45" s="212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2"/>
    </row>
    <row r="46" spans="1:16">
      <c r="A46" s="243"/>
      <c r="B46" s="243"/>
      <c r="C46" s="250" t="s">
        <v>64</v>
      </c>
      <c r="D46" s="251">
        <f>D44*1000</f>
        <v>993000</v>
      </c>
      <c r="E46" s="330">
        <f t="shared" ref="E46:P46" si="21">E44*1000</f>
        <v>1512000</v>
      </c>
      <c r="F46" s="330">
        <f t="shared" si="21"/>
        <v>1405000</v>
      </c>
      <c r="G46" s="330">
        <f t="shared" si="21"/>
        <v>1453000</v>
      </c>
      <c r="H46" s="330">
        <f t="shared" si="21"/>
        <v>1319000</v>
      </c>
      <c r="I46" s="330">
        <f t="shared" si="21"/>
        <v>878000</v>
      </c>
      <c r="J46" s="330">
        <f t="shared" si="21"/>
        <v>936000</v>
      </c>
      <c r="K46" s="330">
        <f t="shared" si="21"/>
        <v>1270000</v>
      </c>
      <c r="L46" s="330">
        <f t="shared" si="21"/>
        <v>1575000</v>
      </c>
      <c r="M46" s="330">
        <f t="shared" si="21"/>
        <v>1661000</v>
      </c>
      <c r="N46" s="330">
        <f t="shared" si="21"/>
        <v>1113000</v>
      </c>
      <c r="O46" s="330">
        <f t="shared" si="21"/>
        <v>869000</v>
      </c>
      <c r="P46" s="330">
        <f t="shared" si="21"/>
        <v>14984000</v>
      </c>
    </row>
    <row r="47" spans="1:16">
      <c r="A47" s="212"/>
      <c r="B47" s="212"/>
      <c r="C47" s="212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2"/>
    </row>
    <row r="48" spans="1:16">
      <c r="A48" s="212"/>
      <c r="B48" s="212"/>
      <c r="C48" s="212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2"/>
    </row>
    <row r="49" spans="1:16">
      <c r="A49" s="255" t="s">
        <v>73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</row>
    <row r="50" spans="1:16" ht="15.75" thickBot="1">
      <c r="A50" s="254" t="s">
        <v>30</v>
      </c>
      <c r="B50" s="215" t="s">
        <v>31</v>
      </c>
      <c r="C50" s="216" t="s">
        <v>32</v>
      </c>
      <c r="D50" s="217" t="s">
        <v>33</v>
      </c>
      <c r="E50" s="218" t="s">
        <v>34</v>
      </c>
      <c r="F50" s="219" t="s">
        <v>35</v>
      </c>
      <c r="G50" s="219" t="s">
        <v>36</v>
      </c>
      <c r="H50" s="219" t="s">
        <v>37</v>
      </c>
      <c r="I50" s="219" t="s">
        <v>38</v>
      </c>
      <c r="J50" s="219" t="s">
        <v>39</v>
      </c>
      <c r="K50" s="219" t="s">
        <v>40</v>
      </c>
      <c r="L50" s="219" t="s">
        <v>41</v>
      </c>
      <c r="M50" s="219" t="s">
        <v>42</v>
      </c>
      <c r="N50" s="219" t="s">
        <v>43</v>
      </c>
      <c r="O50" s="219" t="s">
        <v>44</v>
      </c>
      <c r="P50" s="341" t="s">
        <v>103</v>
      </c>
    </row>
    <row r="51" spans="1:16" s="167" customFormat="1">
      <c r="A51" s="208"/>
      <c r="B51" s="159">
        <v>7534810685</v>
      </c>
      <c r="C51" s="210" t="s">
        <v>45</v>
      </c>
      <c r="D51" s="209">
        <f>(D27*1000)/31</f>
        <v>548.38709677419354</v>
      </c>
      <c r="E51" s="209">
        <f>(E27*1000)/28</f>
        <v>785.71428571428567</v>
      </c>
      <c r="F51" s="209">
        <f>(F27*1000)/31</f>
        <v>677.41935483870964</v>
      </c>
      <c r="G51" s="209">
        <f>(G27*1000)/30</f>
        <v>666.66666666666663</v>
      </c>
      <c r="H51" s="209">
        <f>(H27*1000)/31</f>
        <v>709.67741935483866</v>
      </c>
      <c r="I51" s="209">
        <f>(I27*1000)/30</f>
        <v>566.66666666666663</v>
      </c>
      <c r="J51" s="209">
        <f>(J27*1000)/31</f>
        <v>483.87096774193549</v>
      </c>
      <c r="K51" s="209">
        <f>(K27*1000)/31</f>
        <v>516.12903225806451</v>
      </c>
      <c r="L51" s="209">
        <f>(L27*1000)/30</f>
        <v>566.66666666666663</v>
      </c>
      <c r="M51" s="209">
        <f>(M27*1000)/31</f>
        <v>516.12903225806451</v>
      </c>
      <c r="N51" s="209">
        <f>(N27*1000)/30</f>
        <v>466.66666666666669</v>
      </c>
      <c r="O51" s="209">
        <f>(O27*1000)/31</f>
        <v>419.35483870967744</v>
      </c>
      <c r="P51" s="342">
        <v>487.46693121693119</v>
      </c>
    </row>
    <row r="52" spans="1:16">
      <c r="A52" s="315"/>
      <c r="B52" s="316">
        <v>4366050935</v>
      </c>
      <c r="C52" s="317" t="s">
        <v>46</v>
      </c>
      <c r="D52" s="209">
        <f t="shared" ref="D52:D67" si="22">(D28*1000)/31</f>
        <v>161.29032258064515</v>
      </c>
      <c r="E52" s="209">
        <f t="shared" ref="E52:E67" si="23">(E28*1000)/28</f>
        <v>857.14285714285711</v>
      </c>
      <c r="F52" s="209">
        <f t="shared" ref="F52:F67" si="24">(F28*1000)/31</f>
        <v>645.16129032258061</v>
      </c>
      <c r="G52" s="209">
        <f t="shared" ref="G52:G67" si="25">(G28*1000)/30</f>
        <v>933.33333333333337</v>
      </c>
      <c r="H52" s="209">
        <f t="shared" ref="H52:H67" si="26">(H28*1000)/31</f>
        <v>612.90322580645159</v>
      </c>
      <c r="I52" s="209">
        <f t="shared" ref="I52:I67" si="27">(I28*1000)/30</f>
        <v>100</v>
      </c>
      <c r="J52" s="209">
        <f t="shared" ref="J52:K52" si="28">(J28*1000)/31</f>
        <v>290.32258064516128</v>
      </c>
      <c r="K52" s="209">
        <f t="shared" si="28"/>
        <v>903.22580645161293</v>
      </c>
      <c r="L52" s="209">
        <f t="shared" ref="L52:L67" si="29">(L28*1000)/30</f>
        <v>733.33333333333337</v>
      </c>
      <c r="M52" s="209">
        <f t="shared" ref="M52:M67" si="30">(M28*1000)/31</f>
        <v>838.70967741935488</v>
      </c>
      <c r="N52" s="209">
        <f t="shared" ref="N52:N67" si="31">(N28*1000)/30</f>
        <v>833.33333333333337</v>
      </c>
      <c r="O52" s="209">
        <f t="shared" ref="O52:O67" si="32">(O28*1000)/31</f>
        <v>645.16129032258061</v>
      </c>
      <c r="P52" s="342">
        <v>812.35065710872152</v>
      </c>
    </row>
    <row r="53" spans="1:16">
      <c r="A53" s="315"/>
      <c r="B53" s="316">
        <v>6366050937</v>
      </c>
      <c r="C53" s="317" t="s">
        <v>47</v>
      </c>
      <c r="D53" s="209">
        <f t="shared" si="22"/>
        <v>258.06451612903226</v>
      </c>
      <c r="E53" s="209">
        <f t="shared" si="23"/>
        <v>1142.8571428571429</v>
      </c>
      <c r="F53" s="209">
        <f t="shared" si="24"/>
        <v>838.70967741935488</v>
      </c>
      <c r="G53" s="209">
        <f t="shared" si="25"/>
        <v>1166.6666666666667</v>
      </c>
      <c r="H53" s="209">
        <f t="shared" si="26"/>
        <v>903.22580645161293</v>
      </c>
      <c r="I53" s="209">
        <f t="shared" si="27"/>
        <v>200</v>
      </c>
      <c r="J53" s="209">
        <f t="shared" ref="J53:K53" si="33">(J29*1000)/31</f>
        <v>161.29032258064515</v>
      </c>
      <c r="K53" s="209">
        <f t="shared" si="33"/>
        <v>64.516129032258064</v>
      </c>
      <c r="L53" s="209">
        <f t="shared" si="29"/>
        <v>933.33333333333337</v>
      </c>
      <c r="M53" s="209">
        <f t="shared" si="30"/>
        <v>1548.3870967741937</v>
      </c>
      <c r="N53" s="209">
        <f t="shared" si="31"/>
        <v>1200</v>
      </c>
      <c r="O53" s="209">
        <f t="shared" si="32"/>
        <v>967.74193548387098</v>
      </c>
      <c r="P53" s="342">
        <v>792.97448370029008</v>
      </c>
    </row>
    <row r="54" spans="1:16">
      <c r="A54" s="315"/>
      <c r="B54" s="316">
        <v>7366050938</v>
      </c>
      <c r="C54" s="317" t="s">
        <v>48</v>
      </c>
      <c r="D54" s="209">
        <f t="shared" si="22"/>
        <v>870.9677419354839</v>
      </c>
      <c r="E54" s="209">
        <f t="shared" si="23"/>
        <v>1642.8571428571429</v>
      </c>
      <c r="F54" s="209">
        <f t="shared" si="24"/>
        <v>1806.4516129032259</v>
      </c>
      <c r="G54" s="209">
        <f t="shared" si="25"/>
        <v>1500</v>
      </c>
      <c r="H54" s="209">
        <f t="shared" si="26"/>
        <v>1354.8387096774193</v>
      </c>
      <c r="I54" s="209">
        <f t="shared" si="27"/>
        <v>1500</v>
      </c>
      <c r="J54" s="209">
        <f t="shared" ref="J54:K54" si="34">(J30*1000)/31</f>
        <v>1129.0322580645161</v>
      </c>
      <c r="K54" s="209">
        <f t="shared" si="34"/>
        <v>1225.8064516129032</v>
      </c>
      <c r="L54" s="209">
        <f t="shared" si="29"/>
        <v>1366.6666666666667</v>
      </c>
      <c r="M54" s="209">
        <f t="shared" si="30"/>
        <v>1548.3870967741937</v>
      </c>
      <c r="N54" s="209">
        <f t="shared" si="31"/>
        <v>1533.3333333333333</v>
      </c>
      <c r="O54" s="209">
        <f t="shared" si="32"/>
        <v>1290.3225806451612</v>
      </c>
      <c r="P54" s="342">
        <v>1191.6517323775386</v>
      </c>
    </row>
    <row r="55" spans="1:16">
      <c r="A55" s="315"/>
      <c r="B55" s="316">
        <v>3366050934</v>
      </c>
      <c r="C55" s="317" t="s">
        <v>49</v>
      </c>
      <c r="D55" s="209">
        <f t="shared" si="22"/>
        <v>12225.806451612903</v>
      </c>
      <c r="E55" s="209">
        <f t="shared" si="23"/>
        <v>11250</v>
      </c>
      <c r="F55" s="209">
        <f t="shared" si="24"/>
        <v>9709.677419354839</v>
      </c>
      <c r="G55" s="209">
        <f t="shared" si="25"/>
        <v>10266.666666666666</v>
      </c>
      <c r="H55" s="209">
        <f t="shared" si="26"/>
        <v>10193.548387096775</v>
      </c>
      <c r="I55" s="209">
        <f t="shared" si="27"/>
        <v>6833.333333333333</v>
      </c>
      <c r="J55" s="209">
        <f t="shared" ref="J55:K55" si="35">(J31*1000)/31</f>
        <v>2483.8709677419356</v>
      </c>
      <c r="K55" s="209">
        <f t="shared" si="35"/>
        <v>2612.9032258064517</v>
      </c>
      <c r="L55" s="209">
        <f t="shared" si="29"/>
        <v>8000</v>
      </c>
      <c r="M55" s="209">
        <f t="shared" si="30"/>
        <v>9000</v>
      </c>
      <c r="N55" s="209">
        <f t="shared" si="31"/>
        <v>8466.6666666666661</v>
      </c>
      <c r="O55" s="209">
        <f t="shared" si="32"/>
        <v>5193.5483870967746</v>
      </c>
      <c r="P55" s="342">
        <v>4224.7226489161976</v>
      </c>
    </row>
    <row r="56" spans="1:16">
      <c r="A56" s="315"/>
      <c r="B56" s="319">
        <v>5581150299</v>
      </c>
      <c r="C56" s="317" t="s">
        <v>50</v>
      </c>
      <c r="D56" s="209">
        <f t="shared" si="22"/>
        <v>1193.5483870967741</v>
      </c>
      <c r="E56" s="209">
        <f t="shared" si="23"/>
        <v>5071.4285714285716</v>
      </c>
      <c r="F56" s="209">
        <f t="shared" si="24"/>
        <v>4612.9032258064517</v>
      </c>
      <c r="G56" s="209">
        <f t="shared" si="25"/>
        <v>4866.666666666667</v>
      </c>
      <c r="H56" s="209">
        <f t="shared" si="26"/>
        <v>4419.3548387096771</v>
      </c>
      <c r="I56" s="209">
        <f t="shared" si="27"/>
        <v>1966.6666666666667</v>
      </c>
      <c r="J56" s="209">
        <f t="shared" ref="J56:K56" si="36">(J32*1000)/31</f>
        <v>3709.6774193548385</v>
      </c>
      <c r="K56" s="209">
        <f t="shared" si="36"/>
        <v>8000</v>
      </c>
      <c r="L56" s="209">
        <f t="shared" si="29"/>
        <v>9133.3333333333339</v>
      </c>
      <c r="M56" s="209">
        <f t="shared" si="30"/>
        <v>6354.8387096774195</v>
      </c>
      <c r="N56" s="209">
        <f t="shared" si="31"/>
        <v>3400</v>
      </c>
      <c r="O56" s="209">
        <f t="shared" si="32"/>
        <v>2870.9677419354839</v>
      </c>
      <c r="P56" s="342">
        <v>4592.9862177846053</v>
      </c>
    </row>
    <row r="57" spans="1:16">
      <c r="A57" s="315"/>
      <c r="B57" s="319">
        <v>5366050936</v>
      </c>
      <c r="C57" s="317" t="s">
        <v>51</v>
      </c>
      <c r="D57" s="209">
        <f t="shared" si="22"/>
        <v>354.83870967741933</v>
      </c>
      <c r="E57" s="209">
        <f t="shared" si="23"/>
        <v>1214.2857142857142</v>
      </c>
      <c r="F57" s="209">
        <f t="shared" si="24"/>
        <v>1225.8064516129032</v>
      </c>
      <c r="G57" s="209">
        <f t="shared" si="25"/>
        <v>1233.3333333333333</v>
      </c>
      <c r="H57" s="209">
        <f t="shared" si="26"/>
        <v>1129.0322580645161</v>
      </c>
      <c r="I57" s="209">
        <f t="shared" si="27"/>
        <v>300</v>
      </c>
      <c r="J57" s="209">
        <f t="shared" ref="J57:K57" si="37">(J33*1000)/31</f>
        <v>322.58064516129031</v>
      </c>
      <c r="K57" s="209">
        <f t="shared" si="37"/>
        <v>32.258064516129032</v>
      </c>
      <c r="L57" s="209">
        <f t="shared" si="29"/>
        <v>600</v>
      </c>
      <c r="M57" s="209">
        <f t="shared" si="30"/>
        <v>870.9677419354839</v>
      </c>
      <c r="N57" s="209">
        <f t="shared" si="31"/>
        <v>933.33333333333337</v>
      </c>
      <c r="O57" s="209">
        <f t="shared" si="32"/>
        <v>774.19354838709683</v>
      </c>
      <c r="P57" s="342">
        <v>1195.4983785628947</v>
      </c>
    </row>
    <row r="58" spans="1:16">
      <c r="A58" s="318"/>
      <c r="B58" s="319">
        <v>2052150585</v>
      </c>
      <c r="C58" s="317" t="s">
        <v>52</v>
      </c>
      <c r="D58" s="209">
        <f t="shared" si="22"/>
        <v>12064.516129032258</v>
      </c>
      <c r="E58" s="209">
        <f t="shared" si="23"/>
        <v>19785.714285714286</v>
      </c>
      <c r="F58" s="209">
        <f t="shared" si="24"/>
        <v>16419.354838709678</v>
      </c>
      <c r="G58" s="209">
        <f t="shared" si="25"/>
        <v>16800</v>
      </c>
      <c r="H58" s="209">
        <f t="shared" si="26"/>
        <v>11612.903225806451</v>
      </c>
      <c r="I58" s="209">
        <f t="shared" si="27"/>
        <v>6233.333333333333</v>
      </c>
      <c r="J58" s="209">
        <f t="shared" ref="J58:K58" si="38">(J34*1000)/31</f>
        <v>8064.5161290322585</v>
      </c>
      <c r="K58" s="209">
        <f t="shared" si="38"/>
        <v>10870.967741935483</v>
      </c>
      <c r="L58" s="209">
        <f t="shared" si="29"/>
        <v>14033.333333333334</v>
      </c>
      <c r="M58" s="209">
        <f t="shared" si="30"/>
        <v>14580.645161290322</v>
      </c>
      <c r="N58" s="209">
        <f t="shared" si="31"/>
        <v>8000</v>
      </c>
      <c r="O58" s="209">
        <f t="shared" si="32"/>
        <v>7032.2580645161288</v>
      </c>
      <c r="P58" s="342">
        <v>9197.3544973544977</v>
      </c>
    </row>
    <row r="59" spans="1:16">
      <c r="A59" s="315"/>
      <c r="B59" s="319">
        <v>8635150066</v>
      </c>
      <c r="C59" s="317" t="s">
        <v>53</v>
      </c>
      <c r="D59" s="209">
        <f t="shared" si="22"/>
        <v>32.258064516129032</v>
      </c>
      <c r="E59" s="209">
        <f t="shared" si="23"/>
        <v>214.28571428571428</v>
      </c>
      <c r="F59" s="209">
        <f t="shared" si="24"/>
        <v>193.54838709677421</v>
      </c>
      <c r="G59" s="209">
        <f t="shared" si="25"/>
        <v>166.66666666666666</v>
      </c>
      <c r="H59" s="209">
        <f t="shared" si="26"/>
        <v>129.03225806451613</v>
      </c>
      <c r="I59" s="209">
        <f t="shared" si="27"/>
        <v>100</v>
      </c>
      <c r="J59" s="209">
        <f t="shared" ref="J59:K59" si="39">(J35*1000)/31</f>
        <v>96.774193548387103</v>
      </c>
      <c r="K59" s="209">
        <f t="shared" si="39"/>
        <v>96.774193548387103</v>
      </c>
      <c r="L59" s="209">
        <f t="shared" si="29"/>
        <v>133.33333333333334</v>
      </c>
      <c r="M59" s="209">
        <f t="shared" si="30"/>
        <v>161.29032258064515</v>
      </c>
      <c r="N59" s="209">
        <f t="shared" si="31"/>
        <v>133.33333333333334</v>
      </c>
      <c r="O59" s="209">
        <f t="shared" si="32"/>
        <v>96.774193548387103</v>
      </c>
      <c r="P59" s="342">
        <v>384.73928998122551</v>
      </c>
    </row>
    <row r="60" spans="1:16">
      <c r="A60" s="315"/>
      <c r="B60" s="320">
        <v>6663150208</v>
      </c>
      <c r="C60" s="317" t="s">
        <v>54</v>
      </c>
      <c r="D60" s="209">
        <f t="shared" si="22"/>
        <v>645.16129032258061</v>
      </c>
      <c r="E60" s="209">
        <f t="shared" si="23"/>
        <v>1678.5714285714287</v>
      </c>
      <c r="F60" s="209">
        <f t="shared" si="24"/>
        <v>1161.2903225806451</v>
      </c>
      <c r="G60" s="209">
        <f t="shared" si="25"/>
        <v>1333.3333333333333</v>
      </c>
      <c r="H60" s="209">
        <f t="shared" si="26"/>
        <v>1290.3225806451612</v>
      </c>
      <c r="I60" s="209">
        <f t="shared" si="27"/>
        <v>700</v>
      </c>
      <c r="J60" s="209">
        <f t="shared" ref="J60:K60" si="40">(J36*1000)/31</f>
        <v>612.90322580645159</v>
      </c>
      <c r="K60" s="209">
        <f t="shared" si="40"/>
        <v>580.64516129032256</v>
      </c>
      <c r="L60" s="209">
        <f t="shared" si="29"/>
        <v>700</v>
      </c>
      <c r="M60" s="209">
        <f t="shared" si="30"/>
        <v>1129.0322580645161</v>
      </c>
      <c r="N60" s="209">
        <f t="shared" si="31"/>
        <v>1300</v>
      </c>
      <c r="O60" s="209">
        <f t="shared" si="32"/>
        <v>1096.7741935483871</v>
      </c>
      <c r="P60" s="342">
        <v>650.24108209592089</v>
      </c>
    </row>
    <row r="61" spans="1:16">
      <c r="A61" s="315"/>
      <c r="B61" s="319">
        <v>6068150813</v>
      </c>
      <c r="C61" s="317" t="s">
        <v>55</v>
      </c>
      <c r="D61" s="209">
        <f t="shared" si="22"/>
        <v>193.54838709677421</v>
      </c>
      <c r="E61" s="209">
        <f t="shared" si="23"/>
        <v>1000</v>
      </c>
      <c r="F61" s="209">
        <f t="shared" si="24"/>
        <v>774.19354838709683</v>
      </c>
      <c r="G61" s="209">
        <f t="shared" si="25"/>
        <v>966.66666666666663</v>
      </c>
      <c r="H61" s="209">
        <f t="shared" si="26"/>
        <v>2322.5806451612902</v>
      </c>
      <c r="I61" s="209">
        <f t="shared" si="27"/>
        <v>4833.333333333333</v>
      </c>
      <c r="J61" s="209">
        <f t="shared" ref="J61:K61" si="41">(J37*1000)/31</f>
        <v>5903.2258064516127</v>
      </c>
      <c r="K61" s="209">
        <f t="shared" si="41"/>
        <v>7354.8387096774195</v>
      </c>
      <c r="L61" s="209">
        <f t="shared" si="29"/>
        <v>6266.666666666667</v>
      </c>
      <c r="M61" s="209">
        <f t="shared" si="30"/>
        <v>5612.9032258064517</v>
      </c>
      <c r="N61" s="209">
        <f t="shared" si="31"/>
        <v>1866.6666666666667</v>
      </c>
      <c r="O61" s="209">
        <f t="shared" si="32"/>
        <v>741.93548387096769</v>
      </c>
      <c r="P61" s="342">
        <v>2867.0442908346135</v>
      </c>
    </row>
    <row r="62" spans="1:16">
      <c r="A62" s="315"/>
      <c r="B62" s="320">
        <v>5068150812</v>
      </c>
      <c r="C62" s="317" t="s">
        <v>56</v>
      </c>
      <c r="D62" s="209">
        <f t="shared" si="22"/>
        <v>225.80645161290323</v>
      </c>
      <c r="E62" s="209">
        <f t="shared" si="23"/>
        <v>642.85714285714289</v>
      </c>
      <c r="F62" s="209">
        <f t="shared" si="24"/>
        <v>516.12903225806451</v>
      </c>
      <c r="G62" s="209">
        <f t="shared" si="25"/>
        <v>733.33333333333337</v>
      </c>
      <c r="H62" s="209">
        <f t="shared" si="26"/>
        <v>451.61290322580646</v>
      </c>
      <c r="I62" s="209">
        <f t="shared" si="27"/>
        <v>300</v>
      </c>
      <c r="J62" s="209">
        <f t="shared" ref="J62:K62" si="42">(J38*1000)/31</f>
        <v>290.32258064516128</v>
      </c>
      <c r="K62" s="209">
        <f t="shared" si="42"/>
        <v>1000</v>
      </c>
      <c r="L62" s="209">
        <f t="shared" si="29"/>
        <v>1000</v>
      </c>
      <c r="M62" s="209">
        <f t="shared" si="30"/>
        <v>903.22580645161293</v>
      </c>
      <c r="N62" s="209">
        <f t="shared" si="31"/>
        <v>633.33333333333337</v>
      </c>
      <c r="O62" s="209">
        <f t="shared" si="32"/>
        <v>419.35483870967744</v>
      </c>
      <c r="P62" s="342">
        <v>393.67212834954779</v>
      </c>
    </row>
    <row r="63" spans="1:16">
      <c r="A63" s="315"/>
      <c r="B63" s="320">
        <v>2364150700</v>
      </c>
      <c r="C63" s="317" t="s">
        <v>57</v>
      </c>
      <c r="D63" s="209">
        <f t="shared" si="22"/>
        <v>1387.0967741935483</v>
      </c>
      <c r="E63" s="209">
        <f t="shared" si="23"/>
        <v>2750</v>
      </c>
      <c r="F63" s="209">
        <f t="shared" si="24"/>
        <v>1677.4193548387098</v>
      </c>
      <c r="G63" s="209">
        <f t="shared" si="25"/>
        <v>1566.6666666666667</v>
      </c>
      <c r="H63" s="209">
        <f t="shared" si="26"/>
        <v>1709.6774193548388</v>
      </c>
      <c r="I63" s="209">
        <f t="shared" si="27"/>
        <v>1200</v>
      </c>
      <c r="J63" s="209">
        <f t="shared" ref="J63:K63" si="43">(J39*1000)/31</f>
        <v>1064.516129032258</v>
      </c>
      <c r="K63" s="209">
        <f t="shared" si="43"/>
        <v>1516.1290322580646</v>
      </c>
      <c r="L63" s="209">
        <f t="shared" si="29"/>
        <v>1900</v>
      </c>
      <c r="M63" s="209">
        <f t="shared" si="30"/>
        <v>2354.8387096774195</v>
      </c>
      <c r="N63" s="209">
        <f t="shared" si="31"/>
        <v>1800</v>
      </c>
      <c r="O63" s="209">
        <f t="shared" si="32"/>
        <v>1645.1612903225807</v>
      </c>
      <c r="P63" s="342">
        <v>1388.3843232633553</v>
      </c>
    </row>
    <row r="64" spans="1:16">
      <c r="A64" s="315"/>
      <c r="B64" s="320">
        <v>1364150699</v>
      </c>
      <c r="C64" s="317" t="s">
        <v>58</v>
      </c>
      <c r="D64" s="209">
        <f t="shared" si="22"/>
        <v>967.74193548387098</v>
      </c>
      <c r="E64" s="209">
        <f t="shared" si="23"/>
        <v>4178.5714285714284</v>
      </c>
      <c r="F64" s="209">
        <f t="shared" si="24"/>
        <v>3322.5806451612902</v>
      </c>
      <c r="G64" s="209">
        <f t="shared" si="25"/>
        <v>4166.666666666667</v>
      </c>
      <c r="H64" s="209">
        <f t="shared" si="26"/>
        <v>3645.1612903225805</v>
      </c>
      <c r="I64" s="209">
        <f t="shared" si="27"/>
        <v>2833.3333333333335</v>
      </c>
      <c r="J64" s="209">
        <f t="shared" ref="J64:K64" si="44">(J40*1000)/31</f>
        <v>3806.4516129032259</v>
      </c>
      <c r="K64" s="209">
        <f t="shared" si="44"/>
        <v>4612.9032258064517</v>
      </c>
      <c r="L64" s="209">
        <f t="shared" si="29"/>
        <v>5266.666666666667</v>
      </c>
      <c r="M64" s="209">
        <f t="shared" si="30"/>
        <v>5935.4838709677415</v>
      </c>
      <c r="N64" s="209">
        <f t="shared" si="31"/>
        <v>4100</v>
      </c>
      <c r="O64" s="209">
        <f t="shared" si="32"/>
        <v>3258.0645161290322</v>
      </c>
      <c r="P64" s="342">
        <v>2719.7292626728108</v>
      </c>
    </row>
    <row r="65" spans="1:16">
      <c r="A65" s="315"/>
      <c r="B65" s="319">
        <v>2068150809</v>
      </c>
      <c r="C65" s="317" t="s">
        <v>59</v>
      </c>
      <c r="D65" s="209">
        <f t="shared" si="22"/>
        <v>0</v>
      </c>
      <c r="E65" s="209">
        <f t="shared" si="23"/>
        <v>71.428571428571431</v>
      </c>
      <c r="F65" s="209">
        <f t="shared" si="24"/>
        <v>32.258064516129032</v>
      </c>
      <c r="G65" s="209">
        <f t="shared" si="25"/>
        <v>33.333333333333336</v>
      </c>
      <c r="H65" s="209">
        <f t="shared" si="26"/>
        <v>32.258064516129032</v>
      </c>
      <c r="I65" s="209">
        <f t="shared" si="27"/>
        <v>33.333333333333336</v>
      </c>
      <c r="J65" s="209">
        <f t="shared" ref="J65:K65" si="45">(J41*1000)/31</f>
        <v>32.258064516129032</v>
      </c>
      <c r="K65" s="209">
        <f t="shared" si="45"/>
        <v>32.258064516129032</v>
      </c>
      <c r="L65" s="209">
        <f t="shared" si="29"/>
        <v>33.333333333333336</v>
      </c>
      <c r="M65" s="209">
        <f t="shared" si="30"/>
        <v>64.516129032258064</v>
      </c>
      <c r="N65" s="209">
        <f t="shared" si="31"/>
        <v>33.333333333333336</v>
      </c>
      <c r="O65" s="209">
        <f t="shared" si="32"/>
        <v>32.258064516129032</v>
      </c>
      <c r="P65" s="342">
        <v>33.818697729988045</v>
      </c>
    </row>
    <row r="66" spans="1:16">
      <c r="A66" s="315"/>
      <c r="B66" s="319">
        <v>5756250297</v>
      </c>
      <c r="C66" s="317" t="s">
        <v>60</v>
      </c>
      <c r="D66" s="209">
        <f t="shared" si="22"/>
        <v>193.54838709677421</v>
      </c>
      <c r="E66" s="209">
        <f t="shared" si="23"/>
        <v>321.42857142857144</v>
      </c>
      <c r="F66" s="209">
        <f t="shared" si="24"/>
        <v>483.87096774193549</v>
      </c>
      <c r="G66" s="209">
        <f t="shared" si="25"/>
        <v>600</v>
      </c>
      <c r="H66" s="209">
        <f t="shared" si="26"/>
        <v>709.67741935483866</v>
      </c>
      <c r="I66" s="209">
        <f t="shared" si="27"/>
        <v>600</v>
      </c>
      <c r="J66" s="209">
        <f t="shared" ref="J66:K66" si="46">(J42*1000)/31</f>
        <v>677.41935483870964</v>
      </c>
      <c r="K66" s="209">
        <f t="shared" si="46"/>
        <v>612.90322580645159</v>
      </c>
      <c r="L66" s="209">
        <f t="shared" si="29"/>
        <v>766.66666666666663</v>
      </c>
      <c r="M66" s="209">
        <f t="shared" si="30"/>
        <v>838.70967741935488</v>
      </c>
      <c r="N66" s="209">
        <f t="shared" si="31"/>
        <v>1100</v>
      </c>
      <c r="O66" s="209">
        <f t="shared" si="32"/>
        <v>483.87096774193549</v>
      </c>
      <c r="P66" s="342">
        <v>7698.5652415087898</v>
      </c>
    </row>
    <row r="67" spans="1:16">
      <c r="A67" s="315"/>
      <c r="B67" s="320">
        <v>3054467971</v>
      </c>
      <c r="C67" s="317" t="s">
        <v>62</v>
      </c>
      <c r="D67" s="209">
        <f t="shared" si="22"/>
        <v>709.67741935483866</v>
      </c>
      <c r="E67" s="209">
        <f t="shared" si="23"/>
        <v>1392.8571428571429</v>
      </c>
      <c r="F67" s="209">
        <f t="shared" si="24"/>
        <v>1225.8064516129032</v>
      </c>
      <c r="G67" s="209">
        <f t="shared" si="25"/>
        <v>1433.3333333333333</v>
      </c>
      <c r="H67" s="209">
        <f t="shared" si="26"/>
        <v>1322.5806451612902</v>
      </c>
      <c r="I67" s="209">
        <f t="shared" si="27"/>
        <v>966.66666666666663</v>
      </c>
      <c r="J67" s="209">
        <f t="shared" ref="J67:K67" si="47">(J43*1000)/31</f>
        <v>1064.516129032258</v>
      </c>
      <c r="K67" s="209">
        <f t="shared" si="47"/>
        <v>935.48387096774195</v>
      </c>
      <c r="L67" s="209">
        <f t="shared" si="29"/>
        <v>1066.6666666666667</v>
      </c>
      <c r="M67" s="209">
        <f t="shared" si="30"/>
        <v>1322.5806451612902</v>
      </c>
      <c r="N67" s="209">
        <f t="shared" si="31"/>
        <v>1300</v>
      </c>
      <c r="O67" s="209">
        <f t="shared" si="32"/>
        <v>1064.516129032258</v>
      </c>
      <c r="P67" s="342">
        <v>2925.3968253968255</v>
      </c>
    </row>
    <row r="68" spans="1:16">
      <c r="A68" s="212"/>
      <c r="B68" s="212"/>
      <c r="C68" s="212"/>
      <c r="D68" s="212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326"/>
    </row>
    <row r="69" spans="1:16">
      <c r="A69" s="242"/>
      <c r="B69" s="242"/>
      <c r="C69" s="242"/>
      <c r="D69" s="242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329"/>
    </row>
    <row r="70" spans="1:16">
      <c r="A70" s="269" t="s">
        <v>72</v>
      </c>
      <c r="B70" s="261">
        <v>2020</v>
      </c>
      <c r="C70" s="260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</row>
    <row r="71" spans="1:16" ht="15.75" thickBot="1">
      <c r="A71" s="262" t="s">
        <v>30</v>
      </c>
      <c r="B71" s="263" t="s">
        <v>31</v>
      </c>
      <c r="C71" s="263" t="s">
        <v>32</v>
      </c>
      <c r="D71" s="263" t="s">
        <v>33</v>
      </c>
      <c r="E71" s="263" t="s">
        <v>34</v>
      </c>
      <c r="F71" s="263" t="s">
        <v>35</v>
      </c>
      <c r="G71" s="263" t="s">
        <v>36</v>
      </c>
      <c r="H71" s="263" t="s">
        <v>37</v>
      </c>
      <c r="I71" s="263" t="s">
        <v>38</v>
      </c>
      <c r="J71" s="263" t="s">
        <v>39</v>
      </c>
      <c r="K71" s="263" t="s">
        <v>40</v>
      </c>
      <c r="L71" s="263" t="s">
        <v>41</v>
      </c>
      <c r="M71" s="263" t="s">
        <v>42</v>
      </c>
      <c r="N71" s="263" t="s">
        <v>43</v>
      </c>
      <c r="O71" s="263" t="s">
        <v>44</v>
      </c>
      <c r="P71" s="264" t="s">
        <v>100</v>
      </c>
    </row>
    <row r="72" spans="1:16">
      <c r="A72" s="260"/>
      <c r="B72" s="265">
        <v>7534810685</v>
      </c>
      <c r="C72" s="273" t="s">
        <v>45</v>
      </c>
      <c r="D72" s="268">
        <v>10</v>
      </c>
      <c r="E72" s="268">
        <v>15</v>
      </c>
      <c r="F72" s="268">
        <v>15</v>
      </c>
      <c r="G72" s="268">
        <v>16</v>
      </c>
      <c r="H72" s="268">
        <v>18</v>
      </c>
      <c r="I72" s="268">
        <v>14</v>
      </c>
      <c r="J72" s="268">
        <v>12</v>
      </c>
      <c r="K72" s="268">
        <v>12</v>
      </c>
      <c r="L72" s="268">
        <v>13</v>
      </c>
      <c r="M72" s="268">
        <v>12</v>
      </c>
      <c r="N72" s="268">
        <v>13</v>
      </c>
      <c r="O72" s="268">
        <v>13</v>
      </c>
      <c r="P72" s="271">
        <f>SUM(D72:O72)</f>
        <v>163</v>
      </c>
    </row>
    <row r="73" spans="1:16">
      <c r="A73" s="260"/>
      <c r="B73" s="265">
        <v>4366050935</v>
      </c>
      <c r="C73" s="273" t="s">
        <v>46</v>
      </c>
      <c r="D73" s="268">
        <v>3</v>
      </c>
      <c r="E73" s="268">
        <v>22</v>
      </c>
      <c r="F73" s="268">
        <v>19</v>
      </c>
      <c r="G73" s="268">
        <v>13</v>
      </c>
      <c r="H73" s="268">
        <v>8</v>
      </c>
      <c r="I73" s="268">
        <v>1</v>
      </c>
      <c r="J73" s="268">
        <v>0</v>
      </c>
      <c r="K73" s="268">
        <v>0</v>
      </c>
      <c r="L73" s="268">
        <v>26</v>
      </c>
      <c r="M73" s="268">
        <v>20</v>
      </c>
      <c r="N73" s="268">
        <v>25</v>
      </c>
      <c r="O73" s="268">
        <v>13</v>
      </c>
      <c r="P73" s="334">
        <f t="shared" ref="P73:P90" si="48">SUM(D73:O73)</f>
        <v>150</v>
      </c>
    </row>
    <row r="74" spans="1:16">
      <c r="A74" s="260"/>
      <c r="B74" s="265">
        <v>6366050937</v>
      </c>
      <c r="C74" s="273" t="s">
        <v>47</v>
      </c>
      <c r="D74" s="268">
        <v>5</v>
      </c>
      <c r="E74" s="268">
        <v>37</v>
      </c>
      <c r="F74" s="268">
        <v>27</v>
      </c>
      <c r="G74" s="268">
        <v>22</v>
      </c>
      <c r="H74" s="268">
        <v>12</v>
      </c>
      <c r="I74" s="268">
        <v>7</v>
      </c>
      <c r="J74" s="268">
        <v>8</v>
      </c>
      <c r="K74" s="268">
        <v>7</v>
      </c>
      <c r="L74" s="268">
        <v>26</v>
      </c>
      <c r="M74" s="268">
        <v>27</v>
      </c>
      <c r="N74" s="268">
        <v>35</v>
      </c>
      <c r="O74" s="268">
        <v>20</v>
      </c>
      <c r="P74" s="334">
        <f t="shared" si="48"/>
        <v>233</v>
      </c>
    </row>
    <row r="75" spans="1:16">
      <c r="A75" s="260"/>
      <c r="B75" s="265">
        <v>7366050938</v>
      </c>
      <c r="C75" s="273" t="s">
        <v>48</v>
      </c>
      <c r="D75" s="268">
        <v>24</v>
      </c>
      <c r="E75" s="268">
        <v>46</v>
      </c>
      <c r="F75" s="268">
        <v>42</v>
      </c>
      <c r="G75" s="268">
        <v>15</v>
      </c>
      <c r="H75" s="268">
        <v>4</v>
      </c>
      <c r="I75" s="268">
        <v>10</v>
      </c>
      <c r="J75" s="268">
        <v>29</v>
      </c>
      <c r="K75" s="268">
        <v>42</v>
      </c>
      <c r="L75" s="268">
        <v>46</v>
      </c>
      <c r="M75" s="268">
        <v>33</v>
      </c>
      <c r="N75" s="268">
        <v>18</v>
      </c>
      <c r="O75" s="268">
        <v>12</v>
      </c>
      <c r="P75" s="334">
        <f t="shared" si="48"/>
        <v>321</v>
      </c>
    </row>
    <row r="76" spans="1:16">
      <c r="A76" s="260"/>
      <c r="B76" s="265">
        <v>3366050934</v>
      </c>
      <c r="C76" s="273" t="s">
        <v>49</v>
      </c>
      <c r="D76" s="268">
        <v>28</v>
      </c>
      <c r="E76" s="268">
        <v>178</v>
      </c>
      <c r="F76" s="268">
        <v>159</v>
      </c>
      <c r="G76" s="268">
        <v>93</v>
      </c>
      <c r="H76" s="268">
        <v>48</v>
      </c>
      <c r="I76" s="268">
        <v>13</v>
      </c>
      <c r="J76" s="268">
        <v>10</v>
      </c>
      <c r="K76" s="268">
        <v>20</v>
      </c>
      <c r="L76" s="268">
        <v>137</v>
      </c>
      <c r="M76" s="268">
        <v>130</v>
      </c>
      <c r="N76" s="268">
        <v>140</v>
      </c>
      <c r="O76" s="268">
        <v>98</v>
      </c>
      <c r="P76" s="334">
        <f t="shared" si="48"/>
        <v>1054</v>
      </c>
    </row>
    <row r="77" spans="1:16">
      <c r="A77" s="260"/>
      <c r="B77" s="265">
        <v>5581150299</v>
      </c>
      <c r="C77" s="273" t="s">
        <v>50</v>
      </c>
      <c r="D77" s="268">
        <v>20</v>
      </c>
      <c r="E77" s="268">
        <v>89</v>
      </c>
      <c r="F77" s="268">
        <v>75</v>
      </c>
      <c r="G77" s="268">
        <v>51</v>
      </c>
      <c r="H77" s="268">
        <v>115</v>
      </c>
      <c r="I77" s="268">
        <v>175</v>
      </c>
      <c r="J77" s="268">
        <v>11</v>
      </c>
      <c r="K77" s="268">
        <v>30</v>
      </c>
      <c r="L77" s="268">
        <v>188</v>
      </c>
      <c r="M77" s="268">
        <v>232</v>
      </c>
      <c r="N77" s="268">
        <v>225</v>
      </c>
      <c r="O77" s="268">
        <v>87</v>
      </c>
      <c r="P77" s="334">
        <f t="shared" si="48"/>
        <v>1298</v>
      </c>
    </row>
    <row r="78" spans="1:16">
      <c r="A78" s="260"/>
      <c r="B78" s="265">
        <v>5366050936</v>
      </c>
      <c r="C78" s="273" t="s">
        <v>51</v>
      </c>
      <c r="D78" s="268">
        <v>7</v>
      </c>
      <c r="E78" s="268">
        <v>25</v>
      </c>
      <c r="F78" s="268">
        <v>20</v>
      </c>
      <c r="G78" s="268">
        <v>12</v>
      </c>
      <c r="H78" s="268">
        <v>15</v>
      </c>
      <c r="I78" s="268">
        <v>8</v>
      </c>
      <c r="J78" s="268">
        <v>5</v>
      </c>
      <c r="K78" s="268">
        <v>2</v>
      </c>
      <c r="L78" s="268">
        <v>22</v>
      </c>
      <c r="M78" s="268">
        <v>26</v>
      </c>
      <c r="N78" s="268">
        <v>40</v>
      </c>
      <c r="O78" s="268">
        <v>12</v>
      </c>
      <c r="P78" s="334">
        <f t="shared" si="48"/>
        <v>194</v>
      </c>
    </row>
    <row r="79" spans="1:16">
      <c r="A79" s="260"/>
      <c r="B79" s="265">
        <v>2052150585</v>
      </c>
      <c r="C79" s="273" t="s">
        <v>52</v>
      </c>
      <c r="D79" s="268">
        <v>53</v>
      </c>
      <c r="E79" s="268">
        <v>245</v>
      </c>
      <c r="F79" s="268">
        <v>190</v>
      </c>
      <c r="G79" s="268">
        <v>115</v>
      </c>
      <c r="H79" s="268">
        <v>188</v>
      </c>
      <c r="I79" s="268">
        <v>227</v>
      </c>
      <c r="J79" s="268">
        <v>461</v>
      </c>
      <c r="K79" s="268">
        <v>347</v>
      </c>
      <c r="L79" s="268">
        <v>477</v>
      </c>
      <c r="M79" s="268">
        <v>374</v>
      </c>
      <c r="N79" s="268">
        <v>269</v>
      </c>
      <c r="O79" s="268">
        <v>97</v>
      </c>
      <c r="P79" s="334">
        <f t="shared" si="48"/>
        <v>3043</v>
      </c>
    </row>
    <row r="80" spans="1:16">
      <c r="A80" s="260"/>
      <c r="B80" s="265">
        <v>8635150066</v>
      </c>
      <c r="C80" s="273" t="s">
        <v>53</v>
      </c>
      <c r="D80" s="268">
        <v>0</v>
      </c>
      <c r="E80" s="268">
        <v>9</v>
      </c>
      <c r="F80" s="268">
        <v>4</v>
      </c>
      <c r="G80" s="268">
        <v>1</v>
      </c>
      <c r="H80" s="268">
        <v>0</v>
      </c>
      <c r="I80" s="268">
        <v>0</v>
      </c>
      <c r="J80" s="268">
        <v>1</v>
      </c>
      <c r="K80" s="268">
        <v>1</v>
      </c>
      <c r="L80" s="268">
        <v>4</v>
      </c>
      <c r="M80" s="268">
        <v>5</v>
      </c>
      <c r="N80" s="268">
        <v>5</v>
      </c>
      <c r="O80" s="268">
        <v>4</v>
      </c>
      <c r="P80" s="334">
        <f t="shared" si="48"/>
        <v>34</v>
      </c>
    </row>
    <row r="81" spans="1:16">
      <c r="A81" s="260"/>
      <c r="B81" s="266">
        <v>6663150208</v>
      </c>
      <c r="C81" s="273" t="s">
        <v>54</v>
      </c>
      <c r="D81" s="268">
        <v>16</v>
      </c>
      <c r="E81" s="268">
        <v>35</v>
      </c>
      <c r="F81" s="268">
        <v>31</v>
      </c>
      <c r="G81" s="268">
        <v>10</v>
      </c>
      <c r="H81" s="268">
        <v>3</v>
      </c>
      <c r="I81" s="268">
        <v>4</v>
      </c>
      <c r="J81" s="268">
        <v>9</v>
      </c>
      <c r="K81" s="268">
        <v>11</v>
      </c>
      <c r="L81" s="268">
        <v>16</v>
      </c>
      <c r="M81" s="268">
        <v>12</v>
      </c>
      <c r="N81" s="268">
        <v>13</v>
      </c>
      <c r="O81" s="268">
        <v>8</v>
      </c>
      <c r="P81" s="334">
        <f t="shared" si="48"/>
        <v>168</v>
      </c>
    </row>
    <row r="82" spans="1:16">
      <c r="A82" s="260"/>
      <c r="B82" s="265">
        <v>6068150813</v>
      </c>
      <c r="C82" s="273" t="s">
        <v>55</v>
      </c>
      <c r="D82" s="268">
        <v>5</v>
      </c>
      <c r="E82" s="268">
        <v>30</v>
      </c>
      <c r="F82" s="268">
        <v>25</v>
      </c>
      <c r="G82" s="268">
        <v>7</v>
      </c>
      <c r="H82" s="268">
        <v>1</v>
      </c>
      <c r="I82" s="268">
        <v>3</v>
      </c>
      <c r="J82" s="268">
        <v>434</v>
      </c>
      <c r="K82" s="268">
        <v>220</v>
      </c>
      <c r="L82" s="268">
        <v>195</v>
      </c>
      <c r="M82" s="268">
        <v>115</v>
      </c>
      <c r="N82" s="268">
        <v>56</v>
      </c>
      <c r="O82" s="268">
        <v>3</v>
      </c>
      <c r="P82" s="334">
        <f t="shared" si="48"/>
        <v>1094</v>
      </c>
    </row>
    <row r="83" spans="1:16">
      <c r="A83" s="260"/>
      <c r="B83" s="266">
        <v>5068150812</v>
      </c>
      <c r="C83" s="273" t="s">
        <v>56</v>
      </c>
      <c r="D83" s="268">
        <v>5</v>
      </c>
      <c r="E83" s="268">
        <v>17</v>
      </c>
      <c r="F83" s="268">
        <v>15</v>
      </c>
      <c r="G83" s="268">
        <v>4</v>
      </c>
      <c r="H83" s="268">
        <v>3</v>
      </c>
      <c r="I83" s="268">
        <v>4</v>
      </c>
      <c r="J83" s="268">
        <v>40</v>
      </c>
      <c r="K83" s="268">
        <v>16</v>
      </c>
      <c r="L83" s="268">
        <v>23</v>
      </c>
      <c r="M83" s="268">
        <v>21</v>
      </c>
      <c r="N83" s="268">
        <v>127</v>
      </c>
      <c r="O83" s="268">
        <v>3</v>
      </c>
      <c r="P83" s="334">
        <f t="shared" si="48"/>
        <v>278</v>
      </c>
    </row>
    <row r="84" spans="1:16">
      <c r="A84" s="260"/>
      <c r="B84" s="266">
        <v>2364150700</v>
      </c>
      <c r="C84" s="273" t="s">
        <v>57</v>
      </c>
      <c r="D84" s="268">
        <v>32</v>
      </c>
      <c r="E84" s="268">
        <v>69</v>
      </c>
      <c r="F84" s="268">
        <v>78</v>
      </c>
      <c r="G84" s="268">
        <v>10</v>
      </c>
      <c r="H84" s="268">
        <v>8</v>
      </c>
      <c r="I84" s="268">
        <v>12</v>
      </c>
      <c r="J84" s="268">
        <v>16</v>
      </c>
      <c r="K84" s="268">
        <v>14</v>
      </c>
      <c r="L84" s="268">
        <v>17</v>
      </c>
      <c r="M84" s="268">
        <v>13</v>
      </c>
      <c r="N84" s="268">
        <v>36</v>
      </c>
      <c r="O84" s="268">
        <v>31</v>
      </c>
      <c r="P84" s="334">
        <f t="shared" si="48"/>
        <v>336</v>
      </c>
    </row>
    <row r="85" spans="1:16">
      <c r="A85" s="260"/>
      <c r="B85" s="266">
        <v>1364150699</v>
      </c>
      <c r="C85" s="273" t="s">
        <v>58</v>
      </c>
      <c r="D85" s="268">
        <v>20</v>
      </c>
      <c r="E85" s="268">
        <v>119</v>
      </c>
      <c r="F85" s="268">
        <v>97</v>
      </c>
      <c r="G85" s="268">
        <v>36</v>
      </c>
      <c r="H85" s="268">
        <v>1</v>
      </c>
      <c r="I85" s="268">
        <v>6</v>
      </c>
      <c r="J85" s="268">
        <v>145</v>
      </c>
      <c r="K85" s="268">
        <v>107</v>
      </c>
      <c r="L85" s="268">
        <v>133</v>
      </c>
      <c r="M85" s="268">
        <v>95</v>
      </c>
      <c r="N85" s="268">
        <v>67</v>
      </c>
      <c r="O85" s="268">
        <v>15</v>
      </c>
      <c r="P85" s="334">
        <f t="shared" si="48"/>
        <v>841</v>
      </c>
    </row>
    <row r="86" spans="1:16">
      <c r="A86" s="260"/>
      <c r="B86" s="265">
        <v>2068150809</v>
      </c>
      <c r="C86" s="273" t="s">
        <v>59</v>
      </c>
      <c r="D86" s="268">
        <v>0</v>
      </c>
      <c r="E86" s="268">
        <v>1</v>
      </c>
      <c r="F86" s="268">
        <v>1</v>
      </c>
      <c r="G86" s="268">
        <v>1</v>
      </c>
      <c r="H86" s="268">
        <v>0</v>
      </c>
      <c r="I86" s="268">
        <v>0</v>
      </c>
      <c r="J86" s="268">
        <v>0</v>
      </c>
      <c r="K86" s="268">
        <v>0</v>
      </c>
      <c r="L86" s="268">
        <v>1</v>
      </c>
      <c r="M86" s="268">
        <v>0</v>
      </c>
      <c r="N86" s="268">
        <v>1</v>
      </c>
      <c r="O86" s="268">
        <v>1</v>
      </c>
      <c r="P86" s="334">
        <f t="shared" si="48"/>
        <v>6</v>
      </c>
    </row>
    <row r="87" spans="1:16">
      <c r="A87" s="260"/>
      <c r="B87" s="265">
        <v>5756250297</v>
      </c>
      <c r="C87" s="272" t="s">
        <v>60</v>
      </c>
      <c r="D87" s="266">
        <v>0</v>
      </c>
      <c r="E87" s="266">
        <v>0</v>
      </c>
      <c r="F87" s="266">
        <v>0</v>
      </c>
      <c r="G87" s="266">
        <v>0</v>
      </c>
      <c r="H87" s="266">
        <v>0</v>
      </c>
      <c r="I87" s="266">
        <v>0</v>
      </c>
      <c r="J87" s="266">
        <v>0</v>
      </c>
      <c r="K87" s="266">
        <v>2343</v>
      </c>
      <c r="L87" s="266">
        <v>684</v>
      </c>
      <c r="M87" s="266">
        <v>415</v>
      </c>
      <c r="N87" s="266">
        <v>350</v>
      </c>
      <c r="O87" s="266">
        <v>179</v>
      </c>
      <c r="P87" s="334">
        <f t="shared" si="48"/>
        <v>3971</v>
      </c>
    </row>
    <row r="88" spans="1:16">
      <c r="A88" s="260"/>
      <c r="B88" s="266">
        <v>1665911804</v>
      </c>
      <c r="C88" s="272" t="s">
        <v>61</v>
      </c>
      <c r="D88" s="268">
        <v>8</v>
      </c>
      <c r="E88" s="268">
        <v>17</v>
      </c>
      <c r="F88" s="268">
        <v>19</v>
      </c>
      <c r="G88" s="268">
        <v>2</v>
      </c>
      <c r="H88" s="268">
        <v>0</v>
      </c>
      <c r="I88" s="268">
        <v>5</v>
      </c>
      <c r="J88" s="268">
        <v>6</v>
      </c>
      <c r="K88" s="268">
        <v>3</v>
      </c>
      <c r="L88" s="268">
        <v>4</v>
      </c>
      <c r="M88" s="268">
        <v>11</v>
      </c>
      <c r="N88" s="268">
        <v>6</v>
      </c>
      <c r="O88" s="268">
        <v>7</v>
      </c>
      <c r="P88" s="334">
        <f t="shared" si="48"/>
        <v>88</v>
      </c>
    </row>
    <row r="89" spans="1:16">
      <c r="A89" s="260"/>
      <c r="B89" s="266">
        <v>3054467971</v>
      </c>
      <c r="C89" s="272" t="s">
        <v>62</v>
      </c>
      <c r="D89" s="268">
        <v>19</v>
      </c>
      <c r="E89" s="268">
        <v>38</v>
      </c>
      <c r="F89" s="268">
        <v>36</v>
      </c>
      <c r="G89" s="268">
        <v>9</v>
      </c>
      <c r="H89" s="268">
        <v>2</v>
      </c>
      <c r="I89" s="268">
        <v>4</v>
      </c>
      <c r="J89" s="268">
        <v>12</v>
      </c>
      <c r="K89" s="268">
        <v>12</v>
      </c>
      <c r="L89" s="268">
        <v>15</v>
      </c>
      <c r="M89" s="268">
        <v>13</v>
      </c>
      <c r="N89" s="268">
        <v>17</v>
      </c>
      <c r="O89" s="268">
        <v>8</v>
      </c>
      <c r="P89" s="334">
        <f t="shared" si="48"/>
        <v>185</v>
      </c>
    </row>
    <row r="90" spans="1:16">
      <c r="A90" s="260"/>
      <c r="B90" s="266">
        <v>3380811569</v>
      </c>
      <c r="C90" s="272" t="s">
        <v>63</v>
      </c>
      <c r="D90" s="266">
        <v>0</v>
      </c>
      <c r="E90" s="266">
        <v>0</v>
      </c>
      <c r="F90" s="266">
        <v>0</v>
      </c>
      <c r="G90" s="266">
        <v>0</v>
      </c>
      <c r="H90" s="266">
        <v>0</v>
      </c>
      <c r="I90" s="266">
        <v>0</v>
      </c>
      <c r="J90" s="266">
        <v>0</v>
      </c>
      <c r="K90" s="266">
        <v>0</v>
      </c>
      <c r="L90" s="266">
        <v>0</v>
      </c>
      <c r="M90" s="266">
        <v>0</v>
      </c>
      <c r="N90" s="268">
        <v>0</v>
      </c>
      <c r="O90" s="268">
        <v>3</v>
      </c>
      <c r="P90" s="334">
        <f t="shared" si="48"/>
        <v>3</v>
      </c>
    </row>
    <row r="91" spans="1:16">
      <c r="A91" s="260"/>
      <c r="B91" s="260"/>
      <c r="C91" s="260"/>
      <c r="D91" s="256">
        <f>SUM(D72:D90)</f>
        <v>255</v>
      </c>
      <c r="E91" s="332">
        <f t="shared" ref="E91:P91" si="49">SUM(E72:E90)</f>
        <v>992</v>
      </c>
      <c r="F91" s="332">
        <f t="shared" si="49"/>
        <v>853</v>
      </c>
      <c r="G91" s="332">
        <f t="shared" si="49"/>
        <v>417</v>
      </c>
      <c r="H91" s="332">
        <f t="shared" si="49"/>
        <v>426</v>
      </c>
      <c r="I91" s="332">
        <f t="shared" si="49"/>
        <v>493</v>
      </c>
      <c r="J91" s="332">
        <f t="shared" si="49"/>
        <v>1199</v>
      </c>
      <c r="K91" s="332">
        <f t="shared" si="49"/>
        <v>3187</v>
      </c>
      <c r="L91" s="332">
        <f t="shared" si="49"/>
        <v>2027</v>
      </c>
      <c r="M91" s="332">
        <f t="shared" si="49"/>
        <v>1554</v>
      </c>
      <c r="N91" s="332">
        <f t="shared" si="49"/>
        <v>1443</v>
      </c>
      <c r="O91" s="332">
        <f t="shared" si="49"/>
        <v>614</v>
      </c>
      <c r="P91" s="332">
        <f t="shared" si="49"/>
        <v>13460</v>
      </c>
    </row>
    <row r="92" spans="1:16">
      <c r="A92" s="212"/>
      <c r="B92" s="212"/>
      <c r="C92" s="212"/>
      <c r="D92" s="212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2"/>
    </row>
    <row r="93" spans="1:16">
      <c r="A93" s="260"/>
      <c r="B93" s="260"/>
      <c r="C93" s="267" t="s">
        <v>64</v>
      </c>
      <c r="D93" s="330">
        <f>D91*1000</f>
        <v>255000</v>
      </c>
      <c r="E93" s="330">
        <f>E91*1000</f>
        <v>992000</v>
      </c>
      <c r="F93" s="330">
        <f t="shared" ref="F93:P93" si="50">F91*1000</f>
        <v>853000</v>
      </c>
      <c r="G93" s="330">
        <f t="shared" si="50"/>
        <v>417000</v>
      </c>
      <c r="H93" s="330">
        <f t="shared" si="50"/>
        <v>426000</v>
      </c>
      <c r="I93" s="330">
        <f t="shared" si="50"/>
        <v>493000</v>
      </c>
      <c r="J93" s="330">
        <f t="shared" si="50"/>
        <v>1199000</v>
      </c>
      <c r="K93" s="330">
        <f t="shared" si="50"/>
        <v>3187000</v>
      </c>
      <c r="L93" s="330">
        <f t="shared" si="50"/>
        <v>2027000</v>
      </c>
      <c r="M93" s="330">
        <f t="shared" si="50"/>
        <v>1554000</v>
      </c>
      <c r="N93" s="330">
        <f t="shared" si="50"/>
        <v>1443000</v>
      </c>
      <c r="O93" s="330">
        <f t="shared" si="50"/>
        <v>614000</v>
      </c>
      <c r="P93" s="330">
        <f t="shared" si="50"/>
        <v>13460000</v>
      </c>
    </row>
    <row r="94" spans="1:16">
      <c r="A94" s="212"/>
      <c r="B94" s="212"/>
      <c r="C94" s="212"/>
      <c r="D94" s="212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2"/>
    </row>
    <row r="95" spans="1:16">
      <c r="A95" s="212"/>
      <c r="B95" s="212"/>
      <c r="C95" s="212"/>
      <c r="D95" s="212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2"/>
    </row>
    <row r="96" spans="1:16">
      <c r="A96" s="255" t="s">
        <v>73</v>
      </c>
      <c r="B96" s="260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</row>
    <row r="97" spans="1:16" ht="15.75" thickBot="1">
      <c r="A97" s="254" t="s">
        <v>30</v>
      </c>
      <c r="B97" s="215" t="s">
        <v>31</v>
      </c>
      <c r="C97" s="216" t="s">
        <v>32</v>
      </c>
      <c r="D97" s="217" t="s">
        <v>33</v>
      </c>
      <c r="E97" s="218" t="s">
        <v>34</v>
      </c>
      <c r="F97" s="219" t="s">
        <v>35</v>
      </c>
      <c r="G97" s="219" t="s">
        <v>36</v>
      </c>
      <c r="H97" s="219" t="s">
        <v>37</v>
      </c>
      <c r="I97" s="219" t="s">
        <v>38</v>
      </c>
      <c r="J97" s="219" t="s">
        <v>39</v>
      </c>
      <c r="K97" s="219" t="s">
        <v>40</v>
      </c>
      <c r="L97" s="219" t="s">
        <v>41</v>
      </c>
      <c r="M97" s="219" t="s">
        <v>42</v>
      </c>
      <c r="N97" s="219" t="s">
        <v>43</v>
      </c>
      <c r="O97" s="219" t="s">
        <v>44</v>
      </c>
      <c r="P97" s="260"/>
    </row>
    <row r="98" spans="1:16">
      <c r="A98" s="270"/>
      <c r="B98" s="220">
        <v>7534810685</v>
      </c>
      <c r="C98" s="223" t="s">
        <v>45</v>
      </c>
      <c r="D98" s="209">
        <f>(D72*1000)/31</f>
        <v>322.58064516129031</v>
      </c>
      <c r="E98" s="209">
        <f>(E72*1000)/28</f>
        <v>535.71428571428567</v>
      </c>
      <c r="F98" s="209">
        <f>(F72*1000)/31</f>
        <v>483.87096774193549</v>
      </c>
      <c r="G98" s="209">
        <f>(G72*1000)/30</f>
        <v>533.33333333333337</v>
      </c>
      <c r="H98" s="209">
        <f>(H72*1000)/31</f>
        <v>580.64516129032256</v>
      </c>
      <c r="I98" s="209">
        <f>(I72*1000)/30</f>
        <v>466.66666666666669</v>
      </c>
      <c r="J98" s="209">
        <f>(J72*1000)/31</f>
        <v>387.09677419354841</v>
      </c>
      <c r="K98" s="209">
        <f>(K72*1000)/31</f>
        <v>387.09677419354841</v>
      </c>
      <c r="L98" s="209">
        <f>(L72*1000)/30</f>
        <v>433.33333333333331</v>
      </c>
      <c r="M98" s="209">
        <f>(M72*1000)/31</f>
        <v>387.09677419354841</v>
      </c>
      <c r="N98" s="209">
        <f>(N72*1000)/30</f>
        <v>433.33333333333331</v>
      </c>
      <c r="O98" s="209">
        <f>(O72*1000)/31</f>
        <v>419.35483870967744</v>
      </c>
      <c r="P98" s="260"/>
    </row>
    <row r="99" spans="1:16">
      <c r="A99" s="270"/>
      <c r="B99" s="220">
        <v>4366050935</v>
      </c>
      <c r="C99" s="223" t="s">
        <v>46</v>
      </c>
      <c r="D99" s="209">
        <f t="shared" ref="D99:D116" si="51">(D73*1000)/31</f>
        <v>96.774193548387103</v>
      </c>
      <c r="E99" s="209">
        <f t="shared" ref="E99:E116" si="52">(E73*1000)/28</f>
        <v>785.71428571428567</v>
      </c>
      <c r="F99" s="209">
        <f t="shared" ref="F99:F116" si="53">(F73*1000)/31</f>
        <v>612.90322580645159</v>
      </c>
      <c r="G99" s="209">
        <f t="shared" ref="G99:G116" si="54">(G73*1000)/30</f>
        <v>433.33333333333331</v>
      </c>
      <c r="H99" s="209">
        <f t="shared" ref="H99:H116" si="55">(H73*1000)/31</f>
        <v>258.06451612903226</v>
      </c>
      <c r="I99" s="209">
        <f t="shared" ref="I99:I116" si="56">(I73*1000)/30</f>
        <v>33.333333333333336</v>
      </c>
      <c r="J99" s="209">
        <f t="shared" ref="J99:K99" si="57">(J73*1000)/31</f>
        <v>0</v>
      </c>
      <c r="K99" s="209">
        <f t="shared" si="57"/>
        <v>0</v>
      </c>
      <c r="L99" s="209">
        <f t="shared" ref="L99:L116" si="58">(L73*1000)/30</f>
        <v>866.66666666666663</v>
      </c>
      <c r="M99" s="209">
        <f t="shared" ref="M99:M116" si="59">(M73*1000)/31</f>
        <v>645.16129032258061</v>
      </c>
      <c r="N99" s="209">
        <f t="shared" ref="N99:N116" si="60">(N73*1000)/30</f>
        <v>833.33333333333337</v>
      </c>
      <c r="O99" s="209">
        <f t="shared" ref="O99:O116" si="61">(O73*1000)/31</f>
        <v>419.35483870967744</v>
      </c>
      <c r="P99" s="260"/>
    </row>
    <row r="100" spans="1:16">
      <c r="A100" s="270"/>
      <c r="B100" s="220">
        <v>6366050937</v>
      </c>
      <c r="C100" s="223" t="s">
        <v>47</v>
      </c>
      <c r="D100" s="209">
        <f t="shared" si="51"/>
        <v>161.29032258064515</v>
      </c>
      <c r="E100" s="209">
        <f t="shared" si="52"/>
        <v>1321.4285714285713</v>
      </c>
      <c r="F100" s="209">
        <f t="shared" si="53"/>
        <v>870.9677419354839</v>
      </c>
      <c r="G100" s="209">
        <f t="shared" si="54"/>
        <v>733.33333333333337</v>
      </c>
      <c r="H100" s="209">
        <f t="shared" si="55"/>
        <v>387.09677419354841</v>
      </c>
      <c r="I100" s="209">
        <f t="shared" si="56"/>
        <v>233.33333333333334</v>
      </c>
      <c r="J100" s="209">
        <f t="shared" ref="J100:K100" si="62">(J74*1000)/31</f>
        <v>258.06451612903226</v>
      </c>
      <c r="K100" s="209">
        <f t="shared" si="62"/>
        <v>225.80645161290323</v>
      </c>
      <c r="L100" s="209">
        <f t="shared" si="58"/>
        <v>866.66666666666663</v>
      </c>
      <c r="M100" s="209">
        <f t="shared" si="59"/>
        <v>870.9677419354839</v>
      </c>
      <c r="N100" s="209">
        <f t="shared" si="60"/>
        <v>1166.6666666666667</v>
      </c>
      <c r="O100" s="209">
        <f t="shared" si="61"/>
        <v>645.16129032258061</v>
      </c>
      <c r="P100" s="260"/>
    </row>
    <row r="101" spans="1:16">
      <c r="A101" s="270"/>
      <c r="B101" s="220">
        <v>7366050938</v>
      </c>
      <c r="C101" s="223" t="s">
        <v>48</v>
      </c>
      <c r="D101" s="209">
        <f t="shared" si="51"/>
        <v>774.19354838709683</v>
      </c>
      <c r="E101" s="209">
        <f t="shared" si="52"/>
        <v>1642.8571428571429</v>
      </c>
      <c r="F101" s="209">
        <f t="shared" si="53"/>
        <v>1354.8387096774193</v>
      </c>
      <c r="G101" s="209">
        <f t="shared" si="54"/>
        <v>500</v>
      </c>
      <c r="H101" s="209">
        <f t="shared" si="55"/>
        <v>129.03225806451613</v>
      </c>
      <c r="I101" s="209">
        <f t="shared" si="56"/>
        <v>333.33333333333331</v>
      </c>
      <c r="J101" s="209">
        <f t="shared" ref="J101:K101" si="63">(J75*1000)/31</f>
        <v>935.48387096774195</v>
      </c>
      <c r="K101" s="209">
        <f t="shared" si="63"/>
        <v>1354.8387096774193</v>
      </c>
      <c r="L101" s="209">
        <f t="shared" si="58"/>
        <v>1533.3333333333333</v>
      </c>
      <c r="M101" s="209">
        <f t="shared" si="59"/>
        <v>1064.516129032258</v>
      </c>
      <c r="N101" s="209">
        <f t="shared" si="60"/>
        <v>600</v>
      </c>
      <c r="O101" s="209">
        <f t="shared" si="61"/>
        <v>387.09677419354841</v>
      </c>
      <c r="P101" s="260"/>
    </row>
    <row r="102" spans="1:16">
      <c r="A102" s="270"/>
      <c r="B102" s="220">
        <v>3366050934</v>
      </c>
      <c r="C102" s="223" t="s">
        <v>49</v>
      </c>
      <c r="D102" s="209">
        <f t="shared" si="51"/>
        <v>903.22580645161293</v>
      </c>
      <c r="E102" s="209">
        <f t="shared" si="52"/>
        <v>6357.1428571428569</v>
      </c>
      <c r="F102" s="209">
        <f t="shared" si="53"/>
        <v>5129.0322580645161</v>
      </c>
      <c r="G102" s="209">
        <f t="shared" si="54"/>
        <v>3100</v>
      </c>
      <c r="H102" s="209">
        <f t="shared" si="55"/>
        <v>1548.3870967741937</v>
      </c>
      <c r="I102" s="209">
        <f t="shared" si="56"/>
        <v>433.33333333333331</v>
      </c>
      <c r="J102" s="209">
        <f t="shared" ref="J102:K102" si="64">(J76*1000)/31</f>
        <v>322.58064516129031</v>
      </c>
      <c r="K102" s="209">
        <f t="shared" si="64"/>
        <v>645.16129032258061</v>
      </c>
      <c r="L102" s="209">
        <f t="shared" si="58"/>
        <v>4566.666666666667</v>
      </c>
      <c r="M102" s="209">
        <f t="shared" si="59"/>
        <v>4193.5483870967746</v>
      </c>
      <c r="N102" s="209">
        <f t="shared" si="60"/>
        <v>4666.666666666667</v>
      </c>
      <c r="O102" s="209">
        <f t="shared" si="61"/>
        <v>3161.2903225806454</v>
      </c>
      <c r="P102" s="212"/>
    </row>
    <row r="103" spans="1:16">
      <c r="A103" s="270"/>
      <c r="B103" s="221">
        <v>5581150299</v>
      </c>
      <c r="C103" s="223" t="s">
        <v>50</v>
      </c>
      <c r="D103" s="209">
        <f t="shared" si="51"/>
        <v>645.16129032258061</v>
      </c>
      <c r="E103" s="209">
        <f t="shared" si="52"/>
        <v>3178.5714285714284</v>
      </c>
      <c r="F103" s="209">
        <f t="shared" si="53"/>
        <v>2419.3548387096776</v>
      </c>
      <c r="G103" s="209">
        <f t="shared" si="54"/>
        <v>1700</v>
      </c>
      <c r="H103" s="209">
        <f t="shared" si="55"/>
        <v>3709.6774193548385</v>
      </c>
      <c r="I103" s="209">
        <f t="shared" si="56"/>
        <v>5833.333333333333</v>
      </c>
      <c r="J103" s="209">
        <f t="shared" ref="J103:K103" si="65">(J77*1000)/31</f>
        <v>354.83870967741933</v>
      </c>
      <c r="K103" s="209">
        <f t="shared" si="65"/>
        <v>967.74193548387098</v>
      </c>
      <c r="L103" s="209">
        <f t="shared" si="58"/>
        <v>6266.666666666667</v>
      </c>
      <c r="M103" s="209">
        <f t="shared" si="59"/>
        <v>7483.8709677419356</v>
      </c>
      <c r="N103" s="209">
        <f t="shared" si="60"/>
        <v>7500</v>
      </c>
      <c r="O103" s="209">
        <f t="shared" si="61"/>
        <v>2806.4516129032259</v>
      </c>
      <c r="P103" s="212"/>
    </row>
    <row r="104" spans="1:16">
      <c r="A104" s="270"/>
      <c r="B104" s="221">
        <v>5366050936</v>
      </c>
      <c r="C104" s="223" t="s">
        <v>51</v>
      </c>
      <c r="D104" s="209">
        <f t="shared" si="51"/>
        <v>225.80645161290323</v>
      </c>
      <c r="E104" s="209">
        <f t="shared" si="52"/>
        <v>892.85714285714289</v>
      </c>
      <c r="F104" s="209">
        <f t="shared" si="53"/>
        <v>645.16129032258061</v>
      </c>
      <c r="G104" s="209">
        <f t="shared" si="54"/>
        <v>400</v>
      </c>
      <c r="H104" s="209">
        <f t="shared" si="55"/>
        <v>483.87096774193549</v>
      </c>
      <c r="I104" s="209">
        <f t="shared" si="56"/>
        <v>266.66666666666669</v>
      </c>
      <c r="J104" s="209">
        <f t="shared" ref="J104:K104" si="66">(J78*1000)/31</f>
        <v>161.29032258064515</v>
      </c>
      <c r="K104" s="209">
        <f t="shared" si="66"/>
        <v>64.516129032258064</v>
      </c>
      <c r="L104" s="209">
        <f t="shared" si="58"/>
        <v>733.33333333333337</v>
      </c>
      <c r="M104" s="209">
        <f t="shared" si="59"/>
        <v>838.70967741935488</v>
      </c>
      <c r="N104" s="209">
        <f t="shared" si="60"/>
        <v>1333.3333333333333</v>
      </c>
      <c r="O104" s="209">
        <f t="shared" si="61"/>
        <v>387.09677419354841</v>
      </c>
      <c r="P104" s="212"/>
    </row>
    <row r="105" spans="1:16">
      <c r="A105" s="260"/>
      <c r="B105" s="221">
        <v>2052150585</v>
      </c>
      <c r="C105" s="223" t="s">
        <v>52</v>
      </c>
      <c r="D105" s="209">
        <f t="shared" si="51"/>
        <v>1709.6774193548388</v>
      </c>
      <c r="E105" s="209">
        <f t="shared" si="52"/>
        <v>8750</v>
      </c>
      <c r="F105" s="209">
        <f t="shared" si="53"/>
        <v>6129.0322580645161</v>
      </c>
      <c r="G105" s="209">
        <f t="shared" si="54"/>
        <v>3833.3333333333335</v>
      </c>
      <c r="H105" s="209">
        <f t="shared" si="55"/>
        <v>6064.5161290322585</v>
      </c>
      <c r="I105" s="209">
        <f t="shared" si="56"/>
        <v>7566.666666666667</v>
      </c>
      <c r="J105" s="209">
        <f t="shared" ref="J105:K105" si="67">(J79*1000)/31</f>
        <v>14870.967741935483</v>
      </c>
      <c r="K105" s="209">
        <f t="shared" si="67"/>
        <v>11193.548387096775</v>
      </c>
      <c r="L105" s="209">
        <f t="shared" si="58"/>
        <v>15900</v>
      </c>
      <c r="M105" s="209">
        <f t="shared" si="59"/>
        <v>12064.516129032258</v>
      </c>
      <c r="N105" s="209">
        <f t="shared" si="60"/>
        <v>8966.6666666666661</v>
      </c>
      <c r="O105" s="209">
        <f t="shared" si="61"/>
        <v>3129.0322580645161</v>
      </c>
      <c r="P105" s="212"/>
    </row>
    <row r="106" spans="1:16">
      <c r="A106" s="270"/>
      <c r="B106" s="221">
        <v>8635150066</v>
      </c>
      <c r="C106" s="223" t="s">
        <v>53</v>
      </c>
      <c r="D106" s="209">
        <f t="shared" si="51"/>
        <v>0</v>
      </c>
      <c r="E106" s="209">
        <f t="shared" si="52"/>
        <v>321.42857142857144</v>
      </c>
      <c r="F106" s="209">
        <f t="shared" si="53"/>
        <v>129.03225806451613</v>
      </c>
      <c r="G106" s="209">
        <f t="shared" si="54"/>
        <v>33.333333333333336</v>
      </c>
      <c r="H106" s="209">
        <f t="shared" si="55"/>
        <v>0</v>
      </c>
      <c r="I106" s="209">
        <f t="shared" si="56"/>
        <v>0</v>
      </c>
      <c r="J106" s="209">
        <f t="shared" ref="J106:K106" si="68">(J80*1000)/31</f>
        <v>32.258064516129032</v>
      </c>
      <c r="K106" s="209">
        <f t="shared" si="68"/>
        <v>32.258064516129032</v>
      </c>
      <c r="L106" s="209">
        <f t="shared" si="58"/>
        <v>133.33333333333334</v>
      </c>
      <c r="M106" s="209">
        <f t="shared" si="59"/>
        <v>161.29032258064515</v>
      </c>
      <c r="N106" s="209">
        <f t="shared" si="60"/>
        <v>166.66666666666666</v>
      </c>
      <c r="O106" s="209">
        <f t="shared" si="61"/>
        <v>129.03225806451613</v>
      </c>
      <c r="P106" s="212"/>
    </row>
    <row r="107" spans="1:16">
      <c r="A107" s="270"/>
      <c r="B107" s="222">
        <v>6663150208</v>
      </c>
      <c r="C107" s="223" t="s">
        <v>54</v>
      </c>
      <c r="D107" s="209">
        <f t="shared" si="51"/>
        <v>516.12903225806451</v>
      </c>
      <c r="E107" s="209">
        <f t="shared" si="52"/>
        <v>1250</v>
      </c>
      <c r="F107" s="209">
        <f t="shared" si="53"/>
        <v>1000</v>
      </c>
      <c r="G107" s="209">
        <f t="shared" si="54"/>
        <v>333.33333333333331</v>
      </c>
      <c r="H107" s="209">
        <f t="shared" si="55"/>
        <v>96.774193548387103</v>
      </c>
      <c r="I107" s="209">
        <f t="shared" si="56"/>
        <v>133.33333333333334</v>
      </c>
      <c r="J107" s="209">
        <f t="shared" ref="J107:K107" si="69">(J81*1000)/31</f>
        <v>290.32258064516128</v>
      </c>
      <c r="K107" s="209">
        <f t="shared" si="69"/>
        <v>354.83870967741933</v>
      </c>
      <c r="L107" s="209">
        <f t="shared" si="58"/>
        <v>533.33333333333337</v>
      </c>
      <c r="M107" s="209">
        <f t="shared" si="59"/>
        <v>387.09677419354841</v>
      </c>
      <c r="N107" s="209">
        <f t="shared" si="60"/>
        <v>433.33333333333331</v>
      </c>
      <c r="O107" s="209">
        <f t="shared" si="61"/>
        <v>258.06451612903226</v>
      </c>
      <c r="P107" s="212"/>
    </row>
    <row r="108" spans="1:16">
      <c r="A108" s="270"/>
      <c r="B108" s="221">
        <v>6068150813</v>
      </c>
      <c r="C108" s="223" t="s">
        <v>55</v>
      </c>
      <c r="D108" s="209">
        <f t="shared" si="51"/>
        <v>161.29032258064515</v>
      </c>
      <c r="E108" s="209">
        <f t="shared" si="52"/>
        <v>1071.4285714285713</v>
      </c>
      <c r="F108" s="209">
        <f t="shared" si="53"/>
        <v>806.45161290322585</v>
      </c>
      <c r="G108" s="209">
        <f t="shared" si="54"/>
        <v>233.33333333333334</v>
      </c>
      <c r="H108" s="209">
        <f t="shared" si="55"/>
        <v>32.258064516129032</v>
      </c>
      <c r="I108" s="209">
        <f t="shared" si="56"/>
        <v>100</v>
      </c>
      <c r="J108" s="209">
        <f t="shared" ref="J108:K108" si="70">(J82*1000)/31</f>
        <v>14000</v>
      </c>
      <c r="K108" s="209">
        <f t="shared" si="70"/>
        <v>7096.7741935483873</v>
      </c>
      <c r="L108" s="209">
        <f t="shared" si="58"/>
        <v>6500</v>
      </c>
      <c r="M108" s="209">
        <f t="shared" si="59"/>
        <v>3709.6774193548385</v>
      </c>
      <c r="N108" s="209">
        <f t="shared" si="60"/>
        <v>1866.6666666666667</v>
      </c>
      <c r="O108" s="209">
        <f t="shared" si="61"/>
        <v>96.774193548387103</v>
      </c>
      <c r="P108" s="212"/>
    </row>
    <row r="109" spans="1:16">
      <c r="A109" s="270"/>
      <c r="B109" s="222">
        <v>5068150812</v>
      </c>
      <c r="C109" s="223" t="s">
        <v>56</v>
      </c>
      <c r="D109" s="209">
        <f t="shared" si="51"/>
        <v>161.29032258064515</v>
      </c>
      <c r="E109" s="209">
        <f t="shared" si="52"/>
        <v>607.14285714285711</v>
      </c>
      <c r="F109" s="209">
        <f t="shared" si="53"/>
        <v>483.87096774193549</v>
      </c>
      <c r="G109" s="209">
        <f t="shared" si="54"/>
        <v>133.33333333333334</v>
      </c>
      <c r="H109" s="209">
        <f t="shared" si="55"/>
        <v>96.774193548387103</v>
      </c>
      <c r="I109" s="209">
        <f t="shared" si="56"/>
        <v>133.33333333333334</v>
      </c>
      <c r="J109" s="209">
        <f t="shared" ref="J109:K109" si="71">(J83*1000)/31</f>
        <v>1290.3225806451612</v>
      </c>
      <c r="K109" s="209">
        <f t="shared" si="71"/>
        <v>516.12903225806451</v>
      </c>
      <c r="L109" s="209">
        <f t="shared" si="58"/>
        <v>766.66666666666663</v>
      </c>
      <c r="M109" s="209">
        <f t="shared" si="59"/>
        <v>677.41935483870964</v>
      </c>
      <c r="N109" s="209">
        <f t="shared" si="60"/>
        <v>4233.333333333333</v>
      </c>
      <c r="O109" s="209">
        <f t="shared" si="61"/>
        <v>96.774193548387103</v>
      </c>
      <c r="P109" s="212"/>
    </row>
    <row r="110" spans="1:16">
      <c r="A110" s="270"/>
      <c r="B110" s="222">
        <v>2364150700</v>
      </c>
      <c r="C110" s="223" t="s">
        <v>57</v>
      </c>
      <c r="D110" s="209">
        <f t="shared" si="51"/>
        <v>1032.258064516129</v>
      </c>
      <c r="E110" s="209">
        <f t="shared" si="52"/>
        <v>2464.2857142857142</v>
      </c>
      <c r="F110" s="209">
        <f t="shared" si="53"/>
        <v>2516.1290322580644</v>
      </c>
      <c r="G110" s="209">
        <f t="shared" si="54"/>
        <v>333.33333333333331</v>
      </c>
      <c r="H110" s="209">
        <f t="shared" si="55"/>
        <v>258.06451612903226</v>
      </c>
      <c r="I110" s="209">
        <f t="shared" si="56"/>
        <v>400</v>
      </c>
      <c r="J110" s="209">
        <f t="shared" ref="J110:K110" si="72">(J84*1000)/31</f>
        <v>516.12903225806451</v>
      </c>
      <c r="K110" s="209">
        <f t="shared" si="72"/>
        <v>451.61290322580646</v>
      </c>
      <c r="L110" s="209">
        <f t="shared" si="58"/>
        <v>566.66666666666663</v>
      </c>
      <c r="M110" s="209">
        <f t="shared" si="59"/>
        <v>419.35483870967744</v>
      </c>
      <c r="N110" s="209">
        <f t="shared" si="60"/>
        <v>1200</v>
      </c>
      <c r="O110" s="209">
        <f t="shared" si="61"/>
        <v>1000</v>
      </c>
      <c r="P110" s="212"/>
    </row>
    <row r="111" spans="1:16">
      <c r="A111" s="270"/>
      <c r="B111" s="222">
        <v>1364150699</v>
      </c>
      <c r="C111" s="223" t="s">
        <v>58</v>
      </c>
      <c r="D111" s="209">
        <f t="shared" si="51"/>
        <v>645.16129032258061</v>
      </c>
      <c r="E111" s="209">
        <f t="shared" si="52"/>
        <v>4250</v>
      </c>
      <c r="F111" s="209">
        <f t="shared" si="53"/>
        <v>3129.0322580645161</v>
      </c>
      <c r="G111" s="209">
        <f t="shared" si="54"/>
        <v>1200</v>
      </c>
      <c r="H111" s="209">
        <f t="shared" si="55"/>
        <v>32.258064516129032</v>
      </c>
      <c r="I111" s="209">
        <f t="shared" si="56"/>
        <v>200</v>
      </c>
      <c r="J111" s="209">
        <f t="shared" ref="J111:K111" si="73">(J85*1000)/31</f>
        <v>4677.4193548387093</v>
      </c>
      <c r="K111" s="209">
        <f t="shared" si="73"/>
        <v>3451.6129032258063</v>
      </c>
      <c r="L111" s="209">
        <f t="shared" si="58"/>
        <v>4433.333333333333</v>
      </c>
      <c r="M111" s="209">
        <f t="shared" si="59"/>
        <v>3064.516129032258</v>
      </c>
      <c r="N111" s="209">
        <f t="shared" si="60"/>
        <v>2233.3333333333335</v>
      </c>
      <c r="O111" s="209">
        <f t="shared" si="61"/>
        <v>483.87096774193549</v>
      </c>
      <c r="P111" s="212"/>
    </row>
    <row r="112" spans="1:16">
      <c r="A112" s="270"/>
      <c r="B112" s="221">
        <v>2068150809</v>
      </c>
      <c r="C112" s="223" t="s">
        <v>59</v>
      </c>
      <c r="D112" s="209">
        <f t="shared" si="51"/>
        <v>0</v>
      </c>
      <c r="E112" s="209">
        <f t="shared" si="52"/>
        <v>35.714285714285715</v>
      </c>
      <c r="F112" s="209">
        <f t="shared" si="53"/>
        <v>32.258064516129032</v>
      </c>
      <c r="G112" s="209">
        <f t="shared" si="54"/>
        <v>33.333333333333336</v>
      </c>
      <c r="H112" s="209">
        <f t="shared" si="55"/>
        <v>0</v>
      </c>
      <c r="I112" s="209">
        <f t="shared" si="56"/>
        <v>0</v>
      </c>
      <c r="J112" s="209">
        <f t="shared" ref="J112:K112" si="74">(J86*1000)/31</f>
        <v>0</v>
      </c>
      <c r="K112" s="209">
        <f t="shared" si="74"/>
        <v>0</v>
      </c>
      <c r="L112" s="209">
        <f t="shared" si="58"/>
        <v>33.333333333333336</v>
      </c>
      <c r="M112" s="209">
        <f t="shared" si="59"/>
        <v>0</v>
      </c>
      <c r="N112" s="209">
        <f t="shared" si="60"/>
        <v>33.333333333333336</v>
      </c>
      <c r="O112" s="209">
        <f t="shared" si="61"/>
        <v>32.258064516129032</v>
      </c>
      <c r="P112" s="212"/>
    </row>
    <row r="113" spans="1:16">
      <c r="A113" s="270"/>
      <c r="B113" s="221">
        <v>5756250297</v>
      </c>
      <c r="C113" s="223" t="s">
        <v>60</v>
      </c>
      <c r="D113" s="209">
        <f t="shared" si="51"/>
        <v>0</v>
      </c>
      <c r="E113" s="209">
        <f t="shared" si="52"/>
        <v>0</v>
      </c>
      <c r="F113" s="209">
        <f t="shared" si="53"/>
        <v>0</v>
      </c>
      <c r="G113" s="209">
        <f t="shared" si="54"/>
        <v>0</v>
      </c>
      <c r="H113" s="209">
        <f t="shared" si="55"/>
        <v>0</v>
      </c>
      <c r="I113" s="209">
        <f t="shared" si="56"/>
        <v>0</v>
      </c>
      <c r="J113" s="209">
        <f t="shared" ref="J113:K113" si="75">(J87*1000)/31</f>
        <v>0</v>
      </c>
      <c r="K113" s="209">
        <f t="shared" si="75"/>
        <v>75580.645161290318</v>
      </c>
      <c r="L113" s="209">
        <f t="shared" si="58"/>
        <v>22800</v>
      </c>
      <c r="M113" s="209">
        <f t="shared" si="59"/>
        <v>13387.096774193549</v>
      </c>
      <c r="N113" s="209">
        <f t="shared" si="60"/>
        <v>11666.666666666666</v>
      </c>
      <c r="O113" s="209">
        <f t="shared" si="61"/>
        <v>5774.1935483870966</v>
      </c>
      <c r="P113" s="212"/>
    </row>
    <row r="114" spans="1:16">
      <c r="A114" s="270"/>
      <c r="B114" s="222">
        <v>1665911804</v>
      </c>
      <c r="C114" s="223" t="s">
        <v>61</v>
      </c>
      <c r="D114" s="209">
        <f t="shared" si="51"/>
        <v>258.06451612903226</v>
      </c>
      <c r="E114" s="209">
        <f t="shared" si="52"/>
        <v>607.14285714285711</v>
      </c>
      <c r="F114" s="209">
        <f t="shared" si="53"/>
        <v>612.90322580645159</v>
      </c>
      <c r="G114" s="209">
        <f t="shared" si="54"/>
        <v>66.666666666666671</v>
      </c>
      <c r="H114" s="209">
        <f t="shared" si="55"/>
        <v>0</v>
      </c>
      <c r="I114" s="209">
        <f t="shared" si="56"/>
        <v>166.66666666666666</v>
      </c>
      <c r="J114" s="209">
        <f t="shared" ref="J114:K114" si="76">(J88*1000)/31</f>
        <v>193.54838709677421</v>
      </c>
      <c r="K114" s="209">
        <f t="shared" si="76"/>
        <v>96.774193548387103</v>
      </c>
      <c r="L114" s="209">
        <f t="shared" si="58"/>
        <v>133.33333333333334</v>
      </c>
      <c r="M114" s="209">
        <f t="shared" si="59"/>
        <v>354.83870967741933</v>
      </c>
      <c r="N114" s="209">
        <f t="shared" si="60"/>
        <v>200</v>
      </c>
      <c r="O114" s="209">
        <f t="shared" si="61"/>
        <v>225.80645161290323</v>
      </c>
      <c r="P114" s="212"/>
    </row>
    <row r="115" spans="1:16">
      <c r="A115" s="270"/>
      <c r="B115" s="222">
        <v>3054467971</v>
      </c>
      <c r="C115" s="223" t="s">
        <v>62</v>
      </c>
      <c r="D115" s="209">
        <f t="shared" si="51"/>
        <v>612.90322580645159</v>
      </c>
      <c r="E115" s="209">
        <f t="shared" si="52"/>
        <v>1357.1428571428571</v>
      </c>
      <c r="F115" s="209">
        <f t="shared" si="53"/>
        <v>1161.2903225806451</v>
      </c>
      <c r="G115" s="209">
        <f t="shared" si="54"/>
        <v>300</v>
      </c>
      <c r="H115" s="209">
        <f t="shared" si="55"/>
        <v>64.516129032258064</v>
      </c>
      <c r="I115" s="209">
        <f t="shared" si="56"/>
        <v>133.33333333333334</v>
      </c>
      <c r="J115" s="209">
        <f t="shared" ref="J115:K115" si="77">(J89*1000)/31</f>
        <v>387.09677419354841</v>
      </c>
      <c r="K115" s="209">
        <f t="shared" si="77"/>
        <v>387.09677419354841</v>
      </c>
      <c r="L115" s="209">
        <f t="shared" si="58"/>
        <v>500</v>
      </c>
      <c r="M115" s="209">
        <f t="shared" si="59"/>
        <v>419.35483870967744</v>
      </c>
      <c r="N115" s="209">
        <f t="shared" si="60"/>
        <v>566.66666666666663</v>
      </c>
      <c r="O115" s="209">
        <f t="shared" si="61"/>
        <v>258.06451612903226</v>
      </c>
      <c r="P115" s="212"/>
    </row>
    <row r="116" spans="1:16">
      <c r="A116" s="270"/>
      <c r="B116" s="222">
        <v>3380811569</v>
      </c>
      <c r="C116" s="223" t="s">
        <v>63</v>
      </c>
      <c r="D116" s="209">
        <f t="shared" si="51"/>
        <v>0</v>
      </c>
      <c r="E116" s="209">
        <f t="shared" si="52"/>
        <v>0</v>
      </c>
      <c r="F116" s="209">
        <f t="shared" si="53"/>
        <v>0</v>
      </c>
      <c r="G116" s="209">
        <f t="shared" si="54"/>
        <v>0</v>
      </c>
      <c r="H116" s="209">
        <f t="shared" si="55"/>
        <v>0</v>
      </c>
      <c r="I116" s="209">
        <f t="shared" si="56"/>
        <v>0</v>
      </c>
      <c r="J116" s="209">
        <f t="shared" ref="J116:K116" si="78">(J90*1000)/31</f>
        <v>0</v>
      </c>
      <c r="K116" s="209">
        <f t="shared" si="78"/>
        <v>0</v>
      </c>
      <c r="L116" s="209">
        <f t="shared" si="58"/>
        <v>0</v>
      </c>
      <c r="M116" s="209">
        <f t="shared" si="59"/>
        <v>0</v>
      </c>
      <c r="N116" s="209">
        <f t="shared" si="60"/>
        <v>0</v>
      </c>
      <c r="O116" s="209">
        <f t="shared" si="61"/>
        <v>96.774193548387103</v>
      </c>
      <c r="P116" s="212"/>
    </row>
    <row r="117" spans="1:16">
      <c r="A117" s="212"/>
      <c r="B117" s="212"/>
      <c r="C117" s="212"/>
      <c r="D117" s="253">
        <f>SUM(D98:D116)</f>
        <v>8225.8064516129016</v>
      </c>
      <c r="E117" s="331">
        <f t="shared" ref="E117:O117" si="79">SUM(E98:E116)</f>
        <v>35428.57142857142</v>
      </c>
      <c r="F117" s="331">
        <f t="shared" si="79"/>
        <v>27516.129032258064</v>
      </c>
      <c r="G117" s="331">
        <f t="shared" si="79"/>
        <v>13900.000000000004</v>
      </c>
      <c r="H117" s="331">
        <f t="shared" si="79"/>
        <v>13741.935483870966</v>
      </c>
      <c r="I117" s="331">
        <f t="shared" si="79"/>
        <v>16433.333333333336</v>
      </c>
      <c r="J117" s="331">
        <f t="shared" si="79"/>
        <v>38677.419354838712</v>
      </c>
      <c r="K117" s="331">
        <f t="shared" si="79"/>
        <v>102806.45161290323</v>
      </c>
      <c r="L117" s="331">
        <f t="shared" si="79"/>
        <v>67566.666666666672</v>
      </c>
      <c r="M117" s="331">
        <f t="shared" si="79"/>
        <v>50129.032258064501</v>
      </c>
      <c r="N117" s="331">
        <f t="shared" si="79"/>
        <v>48100</v>
      </c>
      <c r="O117" s="331">
        <f t="shared" si="79"/>
        <v>19806.451612903224</v>
      </c>
      <c r="P117" s="212"/>
    </row>
    <row r="118" spans="1:16">
      <c r="A118" s="212"/>
      <c r="B118" s="212"/>
      <c r="C118" s="212"/>
      <c r="D118" s="212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2"/>
    </row>
    <row r="119" spans="1:16">
      <c r="A119" s="242"/>
      <c r="B119" s="242"/>
      <c r="C119" s="242"/>
      <c r="D119" s="242"/>
      <c r="E119" s="241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  <c r="P119" s="242"/>
    </row>
    <row r="120" spans="1:16">
      <c r="A120" s="283" t="s">
        <v>72</v>
      </c>
      <c r="B120" s="275">
        <v>2021</v>
      </c>
      <c r="C120" s="274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</row>
    <row r="121" spans="1:16" ht="15.75" thickBot="1">
      <c r="A121" s="276" t="s">
        <v>30</v>
      </c>
      <c r="B121" s="277" t="s">
        <v>31</v>
      </c>
      <c r="C121" s="277" t="s">
        <v>32</v>
      </c>
      <c r="D121" s="277" t="s">
        <v>33</v>
      </c>
      <c r="E121" s="277" t="s">
        <v>34</v>
      </c>
      <c r="F121" s="277" t="s">
        <v>35</v>
      </c>
      <c r="G121" s="277" t="s">
        <v>36</v>
      </c>
      <c r="H121" s="277" t="s">
        <v>37</v>
      </c>
      <c r="I121" s="277" t="s">
        <v>38</v>
      </c>
      <c r="J121" s="277" t="s">
        <v>39</v>
      </c>
      <c r="K121" s="277" t="s">
        <v>40</v>
      </c>
      <c r="L121" s="277" t="s">
        <v>41</v>
      </c>
      <c r="M121" s="277" t="s">
        <v>42</v>
      </c>
      <c r="N121" s="277" t="s">
        <v>43</v>
      </c>
      <c r="O121" s="277" t="s">
        <v>44</v>
      </c>
      <c r="P121" s="278" t="s">
        <v>100</v>
      </c>
    </row>
    <row r="122" spans="1:16">
      <c r="A122" s="274"/>
      <c r="B122" s="279">
        <v>7534810685</v>
      </c>
      <c r="C122" s="286" t="s">
        <v>45</v>
      </c>
      <c r="D122" s="282">
        <v>12</v>
      </c>
      <c r="E122" s="282">
        <v>14</v>
      </c>
      <c r="F122" s="282">
        <v>14</v>
      </c>
      <c r="G122" s="282">
        <v>14</v>
      </c>
      <c r="H122" s="282">
        <v>17</v>
      </c>
      <c r="I122" s="282">
        <v>10</v>
      </c>
      <c r="J122" s="282">
        <v>10</v>
      </c>
      <c r="K122" s="282">
        <v>14</v>
      </c>
      <c r="L122" s="282">
        <v>13</v>
      </c>
      <c r="M122" s="282">
        <v>18</v>
      </c>
      <c r="N122" s="282">
        <v>12</v>
      </c>
      <c r="O122" s="282">
        <v>15</v>
      </c>
      <c r="P122" s="285">
        <f>SUM(D122:O122)</f>
        <v>163</v>
      </c>
    </row>
    <row r="123" spans="1:16">
      <c r="A123" s="274"/>
      <c r="B123" s="279">
        <v>4366050935</v>
      </c>
      <c r="C123" s="286" t="s">
        <v>46</v>
      </c>
      <c r="D123" s="282">
        <v>3</v>
      </c>
      <c r="E123" s="282">
        <v>16</v>
      </c>
      <c r="F123" s="282">
        <v>17</v>
      </c>
      <c r="G123" s="282">
        <v>15</v>
      </c>
      <c r="H123" s="282">
        <v>12</v>
      </c>
      <c r="I123" s="282">
        <v>1</v>
      </c>
      <c r="J123" s="282">
        <v>0</v>
      </c>
      <c r="K123" s="282">
        <v>2</v>
      </c>
      <c r="L123" s="282">
        <v>69</v>
      </c>
      <c r="M123" s="282">
        <v>49</v>
      </c>
      <c r="N123" s="282">
        <v>62</v>
      </c>
      <c r="O123" s="282">
        <v>46</v>
      </c>
      <c r="P123" s="336">
        <f t="shared" ref="P123:P140" si="80">SUM(D123:O123)</f>
        <v>292</v>
      </c>
    </row>
    <row r="124" spans="1:16">
      <c r="A124" s="274"/>
      <c r="B124" s="279">
        <v>6366050937</v>
      </c>
      <c r="C124" s="286" t="s">
        <v>47</v>
      </c>
      <c r="D124" s="282">
        <v>1</v>
      </c>
      <c r="E124" s="282">
        <v>59</v>
      </c>
      <c r="F124" s="282">
        <v>49</v>
      </c>
      <c r="G124" s="282">
        <v>57</v>
      </c>
      <c r="H124" s="282">
        <v>96</v>
      </c>
      <c r="I124" s="282">
        <v>112</v>
      </c>
      <c r="J124" s="282">
        <v>28</v>
      </c>
      <c r="K124" s="282">
        <v>2</v>
      </c>
      <c r="L124" s="282">
        <v>57</v>
      </c>
      <c r="M124" s="282">
        <v>54</v>
      </c>
      <c r="N124" s="282">
        <v>58</v>
      </c>
      <c r="O124" s="282">
        <v>27</v>
      </c>
      <c r="P124" s="336">
        <f t="shared" si="80"/>
        <v>600</v>
      </c>
    </row>
    <row r="125" spans="1:16">
      <c r="A125" s="274"/>
      <c r="B125" s="279">
        <v>7366050938</v>
      </c>
      <c r="C125" s="286" t="s">
        <v>48</v>
      </c>
      <c r="D125" s="282">
        <v>12</v>
      </c>
      <c r="E125" s="282">
        <v>18</v>
      </c>
      <c r="F125" s="282">
        <v>22</v>
      </c>
      <c r="G125" s="282">
        <v>19</v>
      </c>
      <c r="H125" s="282">
        <v>23</v>
      </c>
      <c r="I125" s="282">
        <v>25</v>
      </c>
      <c r="J125" s="282">
        <v>38</v>
      </c>
      <c r="K125" s="282">
        <v>64</v>
      </c>
      <c r="L125" s="282">
        <v>55</v>
      </c>
      <c r="M125" s="282">
        <v>51</v>
      </c>
      <c r="N125" s="282">
        <v>34</v>
      </c>
      <c r="O125" s="282">
        <v>30</v>
      </c>
      <c r="P125" s="336">
        <f t="shared" si="80"/>
        <v>391</v>
      </c>
    </row>
    <row r="126" spans="1:16">
      <c r="A126" s="274"/>
      <c r="B126" s="279">
        <v>3366050934</v>
      </c>
      <c r="C126" s="286" t="s">
        <v>49</v>
      </c>
      <c r="D126" s="282">
        <v>1</v>
      </c>
      <c r="E126" s="282">
        <v>103</v>
      </c>
      <c r="F126" s="282">
        <v>189</v>
      </c>
      <c r="G126" s="282">
        <v>165</v>
      </c>
      <c r="H126" s="282">
        <v>120</v>
      </c>
      <c r="I126" s="282">
        <v>51</v>
      </c>
      <c r="J126" s="282">
        <v>84</v>
      </c>
      <c r="K126" s="282">
        <v>60</v>
      </c>
      <c r="L126" s="282">
        <v>110</v>
      </c>
      <c r="M126" s="282">
        <v>137</v>
      </c>
      <c r="N126" s="282">
        <v>127</v>
      </c>
      <c r="O126" s="282">
        <v>122</v>
      </c>
      <c r="P126" s="336">
        <f t="shared" si="80"/>
        <v>1269</v>
      </c>
    </row>
    <row r="127" spans="1:16">
      <c r="A127" s="274"/>
      <c r="B127" s="279">
        <v>5581150299</v>
      </c>
      <c r="C127" s="286" t="s">
        <v>50</v>
      </c>
      <c r="D127" s="282">
        <v>39</v>
      </c>
      <c r="E127" s="282">
        <v>129</v>
      </c>
      <c r="F127" s="282">
        <v>143</v>
      </c>
      <c r="G127" s="282">
        <v>136</v>
      </c>
      <c r="H127" s="282">
        <v>104</v>
      </c>
      <c r="I127" s="282">
        <v>19</v>
      </c>
      <c r="J127" s="282">
        <v>101</v>
      </c>
      <c r="K127" s="282">
        <v>183</v>
      </c>
      <c r="L127" s="282">
        <v>209</v>
      </c>
      <c r="M127" s="282">
        <v>324</v>
      </c>
      <c r="N127" s="282">
        <v>316</v>
      </c>
      <c r="O127" s="282">
        <v>325</v>
      </c>
      <c r="P127" s="336">
        <f t="shared" si="80"/>
        <v>2028</v>
      </c>
    </row>
    <row r="128" spans="1:16">
      <c r="A128" s="274"/>
      <c r="B128" s="279">
        <v>5366050936</v>
      </c>
      <c r="C128" s="286" t="s">
        <v>51</v>
      </c>
      <c r="D128" s="282">
        <v>0</v>
      </c>
      <c r="E128" s="282">
        <v>26</v>
      </c>
      <c r="F128" s="282">
        <v>29</v>
      </c>
      <c r="G128" s="282">
        <v>31</v>
      </c>
      <c r="H128" s="282">
        <v>23</v>
      </c>
      <c r="I128" s="282">
        <v>9</v>
      </c>
      <c r="J128" s="282">
        <v>9</v>
      </c>
      <c r="K128" s="282">
        <v>12</v>
      </c>
      <c r="L128" s="282">
        <v>20</v>
      </c>
      <c r="M128" s="282">
        <v>41</v>
      </c>
      <c r="N128" s="282">
        <v>31</v>
      </c>
      <c r="O128" s="282">
        <v>26</v>
      </c>
      <c r="P128" s="336">
        <f t="shared" si="80"/>
        <v>257</v>
      </c>
    </row>
    <row r="129" spans="1:16">
      <c r="A129" s="274"/>
      <c r="B129" s="279">
        <v>2052150585</v>
      </c>
      <c r="C129" s="286" t="s">
        <v>52</v>
      </c>
      <c r="D129" s="282">
        <v>37</v>
      </c>
      <c r="E129" s="282">
        <v>158</v>
      </c>
      <c r="F129" s="282">
        <v>176</v>
      </c>
      <c r="G129" s="282">
        <v>190</v>
      </c>
      <c r="H129" s="282">
        <v>151</v>
      </c>
      <c r="I129" s="282">
        <v>162</v>
      </c>
      <c r="J129" s="282">
        <v>273</v>
      </c>
      <c r="K129" s="282">
        <v>315</v>
      </c>
      <c r="L129" s="282">
        <v>558</v>
      </c>
      <c r="M129" s="282">
        <v>454</v>
      </c>
      <c r="N129" s="282">
        <v>249</v>
      </c>
      <c r="O129" s="282">
        <v>189</v>
      </c>
      <c r="P129" s="336">
        <f t="shared" si="80"/>
        <v>2912</v>
      </c>
    </row>
    <row r="130" spans="1:16">
      <c r="A130" s="274"/>
      <c r="B130" s="279">
        <v>8635150066</v>
      </c>
      <c r="C130" s="286" t="s">
        <v>53</v>
      </c>
      <c r="D130" s="282">
        <v>3</v>
      </c>
      <c r="E130" s="282">
        <v>3</v>
      </c>
      <c r="F130" s="282">
        <v>3</v>
      </c>
      <c r="G130" s="282">
        <v>3</v>
      </c>
      <c r="H130" s="282">
        <v>31</v>
      </c>
      <c r="I130" s="282">
        <v>14</v>
      </c>
      <c r="J130" s="282">
        <v>123</v>
      </c>
      <c r="K130" s="282">
        <v>9</v>
      </c>
      <c r="L130" s="282">
        <v>17</v>
      </c>
      <c r="M130" s="282">
        <v>19</v>
      </c>
      <c r="N130" s="282">
        <v>30</v>
      </c>
      <c r="O130" s="282">
        <v>27</v>
      </c>
      <c r="P130" s="336">
        <f t="shared" si="80"/>
        <v>282</v>
      </c>
    </row>
    <row r="131" spans="1:16">
      <c r="A131" s="274"/>
      <c r="B131" s="280">
        <v>6663150208</v>
      </c>
      <c r="C131" s="286" t="s">
        <v>54</v>
      </c>
      <c r="D131" s="282">
        <v>30</v>
      </c>
      <c r="E131" s="282">
        <v>16</v>
      </c>
      <c r="F131" s="282">
        <v>18</v>
      </c>
      <c r="G131" s="282">
        <v>17</v>
      </c>
      <c r="H131" s="282">
        <v>19</v>
      </c>
      <c r="I131" s="282">
        <v>12</v>
      </c>
      <c r="J131" s="282">
        <v>12</v>
      </c>
      <c r="K131" s="282">
        <v>12</v>
      </c>
      <c r="L131" s="282">
        <v>17</v>
      </c>
      <c r="M131" s="282">
        <v>21</v>
      </c>
      <c r="N131" s="282">
        <v>22</v>
      </c>
      <c r="O131" s="282">
        <v>22</v>
      </c>
      <c r="P131" s="336">
        <f t="shared" si="80"/>
        <v>218</v>
      </c>
    </row>
    <row r="132" spans="1:16">
      <c r="A132" s="274"/>
      <c r="B132" s="279">
        <v>6068150813</v>
      </c>
      <c r="C132" s="286" t="s">
        <v>55</v>
      </c>
      <c r="D132" s="282">
        <v>2</v>
      </c>
      <c r="E132" s="282">
        <v>7</v>
      </c>
      <c r="F132" s="282">
        <v>8</v>
      </c>
      <c r="G132" s="282">
        <v>8</v>
      </c>
      <c r="H132" s="282">
        <v>7</v>
      </c>
      <c r="I132" s="282">
        <v>13</v>
      </c>
      <c r="J132" s="282">
        <v>23</v>
      </c>
      <c r="K132" s="282">
        <v>14</v>
      </c>
      <c r="L132" s="282">
        <v>37</v>
      </c>
      <c r="M132" s="282">
        <v>78</v>
      </c>
      <c r="N132" s="282">
        <v>30</v>
      </c>
      <c r="O132" s="282">
        <v>21</v>
      </c>
      <c r="P132" s="336">
        <f t="shared" si="80"/>
        <v>248</v>
      </c>
    </row>
    <row r="133" spans="1:16">
      <c r="A133" s="274"/>
      <c r="B133" s="280">
        <v>5068150812</v>
      </c>
      <c r="C133" s="286" t="s">
        <v>56</v>
      </c>
      <c r="D133" s="282">
        <v>2</v>
      </c>
      <c r="E133" s="282">
        <v>4</v>
      </c>
      <c r="F133" s="282">
        <v>6</v>
      </c>
      <c r="G133" s="282">
        <v>5</v>
      </c>
      <c r="H133" s="282">
        <v>6</v>
      </c>
      <c r="I133" s="282">
        <v>2</v>
      </c>
      <c r="J133" s="282">
        <v>2</v>
      </c>
      <c r="K133" s="282">
        <v>2</v>
      </c>
      <c r="L133" s="282">
        <v>5</v>
      </c>
      <c r="M133" s="282">
        <v>7</v>
      </c>
      <c r="N133" s="282">
        <v>10</v>
      </c>
      <c r="O133" s="282">
        <v>7</v>
      </c>
      <c r="P133" s="336">
        <f t="shared" si="80"/>
        <v>58</v>
      </c>
    </row>
    <row r="134" spans="1:16">
      <c r="A134" s="274"/>
      <c r="B134" s="280">
        <v>2364150700</v>
      </c>
      <c r="C134" s="286" t="s">
        <v>57</v>
      </c>
      <c r="D134" s="282">
        <v>34</v>
      </c>
      <c r="E134" s="282">
        <v>33</v>
      </c>
      <c r="F134" s="282">
        <v>33</v>
      </c>
      <c r="G134" s="282">
        <v>26</v>
      </c>
      <c r="H134" s="282">
        <v>46</v>
      </c>
      <c r="I134" s="282">
        <v>23</v>
      </c>
      <c r="J134" s="282">
        <v>40</v>
      </c>
      <c r="K134" s="282">
        <v>41</v>
      </c>
      <c r="L134" s="282">
        <v>62</v>
      </c>
      <c r="M134" s="282">
        <v>57</v>
      </c>
      <c r="N134" s="282">
        <v>43</v>
      </c>
      <c r="O134" s="282">
        <v>48</v>
      </c>
      <c r="P134" s="336">
        <f t="shared" si="80"/>
        <v>486</v>
      </c>
    </row>
    <row r="135" spans="1:16">
      <c r="A135" s="274"/>
      <c r="B135" s="280">
        <v>1364150699</v>
      </c>
      <c r="C135" s="286" t="s">
        <v>58</v>
      </c>
      <c r="D135" s="282">
        <v>17</v>
      </c>
      <c r="E135" s="282">
        <v>25</v>
      </c>
      <c r="F135" s="282">
        <v>28</v>
      </c>
      <c r="G135" s="282">
        <v>26</v>
      </c>
      <c r="H135" s="282">
        <v>21</v>
      </c>
      <c r="I135" s="282">
        <v>94</v>
      </c>
      <c r="J135" s="282">
        <v>135</v>
      </c>
      <c r="K135" s="282">
        <v>167</v>
      </c>
      <c r="L135" s="282">
        <v>327</v>
      </c>
      <c r="M135" s="282">
        <v>190</v>
      </c>
      <c r="N135" s="282">
        <v>83</v>
      </c>
      <c r="O135" s="282">
        <v>56</v>
      </c>
      <c r="P135" s="336">
        <f t="shared" si="80"/>
        <v>1169</v>
      </c>
    </row>
    <row r="136" spans="1:16">
      <c r="A136" s="274"/>
      <c r="B136" s="279">
        <v>2068150809</v>
      </c>
      <c r="C136" s="286" t="s">
        <v>59</v>
      </c>
      <c r="D136" s="282">
        <v>0</v>
      </c>
      <c r="E136" s="282">
        <v>0</v>
      </c>
      <c r="F136" s="282">
        <v>1</v>
      </c>
      <c r="G136" s="282">
        <v>1</v>
      </c>
      <c r="H136" s="282">
        <v>2</v>
      </c>
      <c r="I136" s="282">
        <v>0</v>
      </c>
      <c r="J136" s="282">
        <v>1</v>
      </c>
      <c r="K136" s="282">
        <v>1</v>
      </c>
      <c r="L136" s="282">
        <v>0</v>
      </c>
      <c r="M136" s="282">
        <v>1</v>
      </c>
      <c r="N136" s="282">
        <v>1</v>
      </c>
      <c r="O136" s="282">
        <v>1</v>
      </c>
      <c r="P136" s="336">
        <f t="shared" si="80"/>
        <v>9</v>
      </c>
    </row>
    <row r="137" spans="1:16">
      <c r="A137" s="274"/>
      <c r="B137" s="279">
        <v>5756250297</v>
      </c>
      <c r="C137" s="286" t="s">
        <v>60</v>
      </c>
      <c r="D137" s="280">
        <v>135</v>
      </c>
      <c r="E137" s="280">
        <v>1</v>
      </c>
      <c r="F137" s="280">
        <v>2</v>
      </c>
      <c r="G137" s="280">
        <v>2</v>
      </c>
      <c r="H137" s="280">
        <v>40</v>
      </c>
      <c r="I137" s="280">
        <v>247</v>
      </c>
      <c r="J137" s="280">
        <v>360</v>
      </c>
      <c r="K137" s="280">
        <v>406</v>
      </c>
      <c r="L137" s="280">
        <v>615</v>
      </c>
      <c r="M137" s="280">
        <v>674</v>
      </c>
      <c r="N137" s="280">
        <v>456</v>
      </c>
      <c r="O137" s="280">
        <v>444</v>
      </c>
      <c r="P137" s="336">
        <f t="shared" si="80"/>
        <v>3382</v>
      </c>
    </row>
    <row r="138" spans="1:16">
      <c r="A138" s="274"/>
      <c r="B138" s="280">
        <v>1665911804</v>
      </c>
      <c r="C138" s="286" t="s">
        <v>61</v>
      </c>
      <c r="D138" s="282">
        <v>3</v>
      </c>
      <c r="E138" s="282">
        <v>19</v>
      </c>
      <c r="F138" s="282">
        <v>3</v>
      </c>
      <c r="G138" s="282">
        <v>9</v>
      </c>
      <c r="H138" s="282">
        <v>5</v>
      </c>
      <c r="I138" s="282">
        <v>3</v>
      </c>
      <c r="J138" s="282">
        <v>4</v>
      </c>
      <c r="K138" s="282">
        <v>5</v>
      </c>
      <c r="L138" s="282">
        <v>6</v>
      </c>
      <c r="M138" s="282">
        <v>6</v>
      </c>
      <c r="N138" s="282">
        <v>14</v>
      </c>
      <c r="O138" s="282">
        <v>11</v>
      </c>
      <c r="P138" s="336">
        <f t="shared" si="80"/>
        <v>88</v>
      </c>
    </row>
    <row r="139" spans="1:16">
      <c r="A139" s="274"/>
      <c r="B139" s="280">
        <v>3054467971</v>
      </c>
      <c r="C139" s="286" t="s">
        <v>62</v>
      </c>
      <c r="D139" s="282">
        <v>5</v>
      </c>
      <c r="E139" s="282">
        <v>10</v>
      </c>
      <c r="F139" s="282">
        <v>13</v>
      </c>
      <c r="G139" s="282">
        <v>13</v>
      </c>
      <c r="H139" s="282">
        <v>14</v>
      </c>
      <c r="I139" s="282">
        <v>11</v>
      </c>
      <c r="J139" s="282">
        <v>13</v>
      </c>
      <c r="K139" s="282">
        <v>15</v>
      </c>
      <c r="L139" s="282">
        <v>21</v>
      </c>
      <c r="M139" s="282">
        <v>24</v>
      </c>
      <c r="N139" s="282">
        <v>42</v>
      </c>
      <c r="O139" s="282">
        <v>22</v>
      </c>
      <c r="P139" s="336">
        <f t="shared" si="80"/>
        <v>203</v>
      </c>
    </row>
    <row r="140" spans="1:16">
      <c r="A140" s="274"/>
      <c r="B140" s="280">
        <v>3380811569</v>
      </c>
      <c r="C140" s="286" t="s">
        <v>63</v>
      </c>
      <c r="D140" s="282">
        <v>0</v>
      </c>
      <c r="E140" s="282">
        <v>0</v>
      </c>
      <c r="F140" s="282">
        <v>0</v>
      </c>
      <c r="G140" s="282">
        <v>0</v>
      </c>
      <c r="H140" s="282">
        <v>0</v>
      </c>
      <c r="I140" s="282">
        <v>0</v>
      </c>
      <c r="J140" s="282">
        <v>1</v>
      </c>
      <c r="K140" s="282">
        <v>0</v>
      </c>
      <c r="L140" s="282">
        <v>0</v>
      </c>
      <c r="M140" s="282">
        <v>0</v>
      </c>
      <c r="N140" s="282">
        <v>0</v>
      </c>
      <c r="O140" s="282">
        <v>0</v>
      </c>
      <c r="P140" s="336">
        <f t="shared" si="80"/>
        <v>1</v>
      </c>
    </row>
    <row r="141" spans="1:16">
      <c r="A141" s="274"/>
      <c r="B141" s="274"/>
      <c r="C141" s="274"/>
      <c r="D141" s="284">
        <f>SUM(D122:D140)</f>
        <v>336</v>
      </c>
      <c r="E141" s="335">
        <f t="shared" ref="E141:P141" si="81">SUM(E122:E140)</f>
        <v>641</v>
      </c>
      <c r="F141" s="335">
        <f t="shared" si="81"/>
        <v>754</v>
      </c>
      <c r="G141" s="335">
        <f t="shared" si="81"/>
        <v>737</v>
      </c>
      <c r="H141" s="335">
        <f t="shared" si="81"/>
        <v>737</v>
      </c>
      <c r="I141" s="335">
        <f t="shared" si="81"/>
        <v>808</v>
      </c>
      <c r="J141" s="335">
        <f t="shared" si="81"/>
        <v>1257</v>
      </c>
      <c r="K141" s="335">
        <f t="shared" si="81"/>
        <v>1324</v>
      </c>
      <c r="L141" s="335">
        <f t="shared" si="81"/>
        <v>2198</v>
      </c>
      <c r="M141" s="335">
        <f t="shared" si="81"/>
        <v>2205</v>
      </c>
      <c r="N141" s="335">
        <f t="shared" si="81"/>
        <v>1620</v>
      </c>
      <c r="O141" s="335">
        <f t="shared" si="81"/>
        <v>1439</v>
      </c>
      <c r="P141" s="335">
        <f t="shared" si="81"/>
        <v>14056</v>
      </c>
    </row>
    <row r="142" spans="1:16">
      <c r="A142" s="212"/>
      <c r="B142" s="212"/>
      <c r="C142" s="212"/>
      <c r="D142" s="212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2"/>
    </row>
    <row r="143" spans="1:16">
      <c r="A143" s="274"/>
      <c r="B143" s="274"/>
      <c r="C143" s="281" t="s">
        <v>64</v>
      </c>
      <c r="D143" s="330">
        <f t="shared" ref="D143:P143" si="82">D141*1000</f>
        <v>336000</v>
      </c>
      <c r="E143" s="330">
        <f t="shared" si="82"/>
        <v>641000</v>
      </c>
      <c r="F143" s="330">
        <f t="shared" si="82"/>
        <v>754000</v>
      </c>
      <c r="G143" s="330">
        <f t="shared" si="82"/>
        <v>737000</v>
      </c>
      <c r="H143" s="330">
        <f t="shared" si="82"/>
        <v>737000</v>
      </c>
      <c r="I143" s="330">
        <f t="shared" si="82"/>
        <v>808000</v>
      </c>
      <c r="J143" s="330">
        <f t="shared" si="82"/>
        <v>1257000</v>
      </c>
      <c r="K143" s="330">
        <f t="shared" si="82"/>
        <v>1324000</v>
      </c>
      <c r="L143" s="330">
        <f t="shared" si="82"/>
        <v>2198000</v>
      </c>
      <c r="M143" s="330">
        <f t="shared" si="82"/>
        <v>2205000</v>
      </c>
      <c r="N143" s="330">
        <f t="shared" si="82"/>
        <v>1620000</v>
      </c>
      <c r="O143" s="330">
        <f t="shared" si="82"/>
        <v>1439000</v>
      </c>
      <c r="P143" s="330">
        <f t="shared" si="82"/>
        <v>14056000</v>
      </c>
    </row>
    <row r="144" spans="1:16">
      <c r="A144" s="212"/>
      <c r="B144" s="212"/>
      <c r="C144" s="212"/>
      <c r="D144" s="212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2"/>
    </row>
    <row r="145" spans="1:16">
      <c r="A145" s="212"/>
      <c r="B145" s="212"/>
      <c r="C145" s="212"/>
      <c r="D145" s="212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2"/>
    </row>
    <row r="146" spans="1:16">
      <c r="A146" s="255" t="s">
        <v>73</v>
      </c>
      <c r="B146" s="274"/>
      <c r="C146" s="274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</row>
    <row r="147" spans="1:16" ht="15.75" thickBot="1">
      <c r="A147" s="254" t="s">
        <v>30</v>
      </c>
      <c r="B147" s="215" t="s">
        <v>31</v>
      </c>
      <c r="C147" s="216" t="s">
        <v>32</v>
      </c>
      <c r="D147" s="217" t="s">
        <v>33</v>
      </c>
      <c r="E147" s="218" t="s">
        <v>34</v>
      </c>
      <c r="F147" s="219" t="s">
        <v>35</v>
      </c>
      <c r="G147" s="219" t="s">
        <v>36</v>
      </c>
      <c r="H147" s="219" t="s">
        <v>37</v>
      </c>
      <c r="I147" s="219" t="s">
        <v>38</v>
      </c>
      <c r="J147" s="219" t="s">
        <v>39</v>
      </c>
      <c r="K147" s="219" t="s">
        <v>40</v>
      </c>
      <c r="L147" s="219" t="s">
        <v>41</v>
      </c>
      <c r="M147" s="219" t="s">
        <v>42</v>
      </c>
      <c r="N147" s="219" t="s">
        <v>43</v>
      </c>
      <c r="O147" s="219" t="s">
        <v>44</v>
      </c>
      <c r="P147" s="274"/>
    </row>
    <row r="148" spans="1:16">
      <c r="A148" s="270"/>
      <c r="B148" s="220">
        <v>7534810685</v>
      </c>
      <c r="C148" s="223" t="s">
        <v>45</v>
      </c>
      <c r="D148" s="209">
        <f>(D122*1000)/31</f>
        <v>387.09677419354841</v>
      </c>
      <c r="E148" s="209">
        <f>(E122*1000)/28</f>
        <v>500</v>
      </c>
      <c r="F148" s="209">
        <f>(F122*1000)/31</f>
        <v>451.61290322580646</v>
      </c>
      <c r="G148" s="209">
        <f>(G122*1000)/30</f>
        <v>466.66666666666669</v>
      </c>
      <c r="H148" s="209">
        <f>(H122*1000)/31</f>
        <v>548.38709677419354</v>
      </c>
      <c r="I148" s="209">
        <f>(I122*1000)/30</f>
        <v>333.33333333333331</v>
      </c>
      <c r="J148" s="209">
        <f>(J122*1000)/31</f>
        <v>322.58064516129031</v>
      </c>
      <c r="K148" s="209">
        <f>(K122*1000)/31</f>
        <v>451.61290322580646</v>
      </c>
      <c r="L148" s="209">
        <f>(L122*1000)/30</f>
        <v>433.33333333333331</v>
      </c>
      <c r="M148" s="209">
        <f>(M122*1000)/31</f>
        <v>580.64516129032256</v>
      </c>
      <c r="N148" s="209">
        <f>(N122*1000)/30</f>
        <v>400</v>
      </c>
      <c r="O148" s="209">
        <f>(O122*1000)/31</f>
        <v>483.87096774193549</v>
      </c>
      <c r="P148" s="274"/>
    </row>
    <row r="149" spans="1:16">
      <c r="A149" s="270"/>
      <c r="B149" s="220">
        <v>4366050935</v>
      </c>
      <c r="C149" s="223" t="s">
        <v>46</v>
      </c>
      <c r="D149" s="209">
        <f t="shared" ref="D149:D166" si="83">(D123*1000)/31</f>
        <v>96.774193548387103</v>
      </c>
      <c r="E149" s="209">
        <f t="shared" ref="E149:E166" si="84">(E123*1000)/28</f>
        <v>571.42857142857144</v>
      </c>
      <c r="F149" s="209">
        <f t="shared" ref="F149:F166" si="85">(F123*1000)/31</f>
        <v>548.38709677419354</v>
      </c>
      <c r="G149" s="209">
        <f t="shared" ref="G149:G166" si="86">(G123*1000)/30</f>
        <v>500</v>
      </c>
      <c r="H149" s="209">
        <f t="shared" ref="H149:H166" si="87">(H123*1000)/31</f>
        <v>387.09677419354841</v>
      </c>
      <c r="I149" s="209">
        <f t="shared" ref="I149:I166" si="88">(I123*1000)/30</f>
        <v>33.333333333333336</v>
      </c>
      <c r="J149" s="209">
        <f t="shared" ref="J149:K149" si="89">(J123*1000)/31</f>
        <v>0</v>
      </c>
      <c r="K149" s="209">
        <f t="shared" si="89"/>
        <v>64.516129032258064</v>
      </c>
      <c r="L149" s="209">
        <f t="shared" ref="L149:L166" si="90">(L123*1000)/30</f>
        <v>2300</v>
      </c>
      <c r="M149" s="209">
        <f t="shared" ref="M149:M166" si="91">(M123*1000)/31</f>
        <v>1580.6451612903227</v>
      </c>
      <c r="N149" s="209">
        <f t="shared" ref="N149:N166" si="92">(N123*1000)/30</f>
        <v>2066.6666666666665</v>
      </c>
      <c r="O149" s="209">
        <f t="shared" ref="O149:O166" si="93">(O123*1000)/31</f>
        <v>1483.8709677419354</v>
      </c>
      <c r="P149" s="274"/>
    </row>
    <row r="150" spans="1:16">
      <c r="A150" s="270"/>
      <c r="B150" s="220">
        <v>6366050937</v>
      </c>
      <c r="C150" s="223" t="s">
        <v>47</v>
      </c>
      <c r="D150" s="209">
        <f t="shared" si="83"/>
        <v>32.258064516129032</v>
      </c>
      <c r="E150" s="209">
        <f t="shared" si="84"/>
        <v>2107.1428571428573</v>
      </c>
      <c r="F150" s="209">
        <f t="shared" si="85"/>
        <v>1580.6451612903227</v>
      </c>
      <c r="G150" s="209">
        <f t="shared" si="86"/>
        <v>1900</v>
      </c>
      <c r="H150" s="209">
        <f t="shared" si="87"/>
        <v>3096.7741935483873</v>
      </c>
      <c r="I150" s="209">
        <f t="shared" si="88"/>
        <v>3733.3333333333335</v>
      </c>
      <c r="J150" s="209">
        <f t="shared" ref="J150:K150" si="94">(J124*1000)/31</f>
        <v>903.22580645161293</v>
      </c>
      <c r="K150" s="209">
        <f t="shared" si="94"/>
        <v>64.516129032258064</v>
      </c>
      <c r="L150" s="209">
        <f t="shared" si="90"/>
        <v>1900</v>
      </c>
      <c r="M150" s="209">
        <f t="shared" si="91"/>
        <v>1741.9354838709678</v>
      </c>
      <c r="N150" s="209">
        <f t="shared" si="92"/>
        <v>1933.3333333333333</v>
      </c>
      <c r="O150" s="209">
        <f t="shared" si="93"/>
        <v>870.9677419354839</v>
      </c>
      <c r="P150" s="274"/>
    </row>
    <row r="151" spans="1:16">
      <c r="A151" s="270"/>
      <c r="B151" s="220">
        <v>7366050938</v>
      </c>
      <c r="C151" s="223" t="s">
        <v>48</v>
      </c>
      <c r="D151" s="209">
        <f t="shared" si="83"/>
        <v>387.09677419354841</v>
      </c>
      <c r="E151" s="209">
        <f t="shared" si="84"/>
        <v>642.85714285714289</v>
      </c>
      <c r="F151" s="209">
        <f t="shared" si="85"/>
        <v>709.67741935483866</v>
      </c>
      <c r="G151" s="209">
        <f t="shared" si="86"/>
        <v>633.33333333333337</v>
      </c>
      <c r="H151" s="209">
        <f t="shared" si="87"/>
        <v>741.93548387096769</v>
      </c>
      <c r="I151" s="209">
        <f t="shared" si="88"/>
        <v>833.33333333333337</v>
      </c>
      <c r="J151" s="209">
        <f t="shared" ref="J151:K151" si="95">(J125*1000)/31</f>
        <v>1225.8064516129032</v>
      </c>
      <c r="K151" s="209">
        <f t="shared" si="95"/>
        <v>2064.516129032258</v>
      </c>
      <c r="L151" s="209">
        <f t="shared" si="90"/>
        <v>1833.3333333333333</v>
      </c>
      <c r="M151" s="209">
        <f t="shared" si="91"/>
        <v>1645.1612903225807</v>
      </c>
      <c r="N151" s="209">
        <f t="shared" si="92"/>
        <v>1133.3333333333333</v>
      </c>
      <c r="O151" s="209">
        <f t="shared" si="93"/>
        <v>967.74193548387098</v>
      </c>
      <c r="P151" s="274"/>
    </row>
    <row r="152" spans="1:16">
      <c r="A152" s="270"/>
      <c r="B152" s="220">
        <v>3366050934</v>
      </c>
      <c r="C152" s="223" t="s">
        <v>49</v>
      </c>
      <c r="D152" s="209">
        <f t="shared" si="83"/>
        <v>32.258064516129032</v>
      </c>
      <c r="E152" s="209">
        <f t="shared" si="84"/>
        <v>3678.5714285714284</v>
      </c>
      <c r="F152" s="209">
        <f t="shared" si="85"/>
        <v>6096.7741935483873</v>
      </c>
      <c r="G152" s="209">
        <f t="shared" si="86"/>
        <v>5500</v>
      </c>
      <c r="H152" s="209">
        <f t="shared" si="87"/>
        <v>3870.9677419354839</v>
      </c>
      <c r="I152" s="209">
        <f t="shared" si="88"/>
        <v>1700</v>
      </c>
      <c r="J152" s="209">
        <f t="shared" ref="J152:K152" si="96">(J126*1000)/31</f>
        <v>2709.6774193548385</v>
      </c>
      <c r="K152" s="209">
        <f t="shared" si="96"/>
        <v>1935.483870967742</v>
      </c>
      <c r="L152" s="209">
        <f t="shared" si="90"/>
        <v>3666.6666666666665</v>
      </c>
      <c r="M152" s="209">
        <f t="shared" si="91"/>
        <v>4419.3548387096771</v>
      </c>
      <c r="N152" s="209">
        <f t="shared" si="92"/>
        <v>4233.333333333333</v>
      </c>
      <c r="O152" s="209">
        <f t="shared" si="93"/>
        <v>3935.483870967742</v>
      </c>
      <c r="P152" s="212"/>
    </row>
    <row r="153" spans="1:16">
      <c r="A153" s="270"/>
      <c r="B153" s="221">
        <v>5581150299</v>
      </c>
      <c r="C153" s="223" t="s">
        <v>50</v>
      </c>
      <c r="D153" s="209">
        <f t="shared" si="83"/>
        <v>1258.0645161290322</v>
      </c>
      <c r="E153" s="209">
        <f t="shared" si="84"/>
        <v>4607.1428571428569</v>
      </c>
      <c r="F153" s="209">
        <f t="shared" si="85"/>
        <v>4612.9032258064517</v>
      </c>
      <c r="G153" s="209">
        <f t="shared" si="86"/>
        <v>4533.333333333333</v>
      </c>
      <c r="H153" s="209">
        <f t="shared" si="87"/>
        <v>3354.8387096774195</v>
      </c>
      <c r="I153" s="209">
        <f t="shared" si="88"/>
        <v>633.33333333333337</v>
      </c>
      <c r="J153" s="209">
        <f t="shared" ref="J153:K153" si="97">(J127*1000)/31</f>
        <v>3258.0645161290322</v>
      </c>
      <c r="K153" s="209">
        <f t="shared" si="97"/>
        <v>5903.2258064516127</v>
      </c>
      <c r="L153" s="209">
        <f t="shared" si="90"/>
        <v>6966.666666666667</v>
      </c>
      <c r="M153" s="209">
        <f t="shared" si="91"/>
        <v>10451.612903225807</v>
      </c>
      <c r="N153" s="209">
        <f t="shared" si="92"/>
        <v>10533.333333333334</v>
      </c>
      <c r="O153" s="209">
        <f t="shared" si="93"/>
        <v>10483.870967741936</v>
      </c>
      <c r="P153" s="212"/>
    </row>
    <row r="154" spans="1:16">
      <c r="A154" s="270"/>
      <c r="B154" s="221">
        <v>5366050936</v>
      </c>
      <c r="C154" s="223" t="s">
        <v>51</v>
      </c>
      <c r="D154" s="209">
        <f t="shared" si="83"/>
        <v>0</v>
      </c>
      <c r="E154" s="209">
        <f t="shared" si="84"/>
        <v>928.57142857142856</v>
      </c>
      <c r="F154" s="209">
        <f t="shared" si="85"/>
        <v>935.48387096774195</v>
      </c>
      <c r="G154" s="209">
        <f t="shared" si="86"/>
        <v>1033.3333333333333</v>
      </c>
      <c r="H154" s="209">
        <f t="shared" si="87"/>
        <v>741.93548387096769</v>
      </c>
      <c r="I154" s="209">
        <f t="shared" si="88"/>
        <v>300</v>
      </c>
      <c r="J154" s="209">
        <f t="shared" ref="J154:K154" si="98">(J128*1000)/31</f>
        <v>290.32258064516128</v>
      </c>
      <c r="K154" s="209">
        <f t="shared" si="98"/>
        <v>387.09677419354841</v>
      </c>
      <c r="L154" s="209">
        <f t="shared" si="90"/>
        <v>666.66666666666663</v>
      </c>
      <c r="M154" s="209">
        <f t="shared" si="91"/>
        <v>1322.5806451612902</v>
      </c>
      <c r="N154" s="209">
        <f t="shared" si="92"/>
        <v>1033.3333333333333</v>
      </c>
      <c r="O154" s="209">
        <f t="shared" si="93"/>
        <v>838.70967741935488</v>
      </c>
      <c r="P154" s="212"/>
    </row>
    <row r="155" spans="1:16">
      <c r="A155" s="274"/>
      <c r="B155" s="221">
        <v>2052150585</v>
      </c>
      <c r="C155" s="223" t="s">
        <v>52</v>
      </c>
      <c r="D155" s="209">
        <f t="shared" si="83"/>
        <v>1193.5483870967741</v>
      </c>
      <c r="E155" s="209">
        <f t="shared" si="84"/>
        <v>5642.8571428571431</v>
      </c>
      <c r="F155" s="209">
        <f t="shared" si="85"/>
        <v>5677.4193548387093</v>
      </c>
      <c r="G155" s="209">
        <f t="shared" si="86"/>
        <v>6333.333333333333</v>
      </c>
      <c r="H155" s="209">
        <f t="shared" si="87"/>
        <v>4870.9677419354839</v>
      </c>
      <c r="I155" s="209">
        <f t="shared" si="88"/>
        <v>5400</v>
      </c>
      <c r="J155" s="209">
        <f t="shared" ref="J155:K155" si="99">(J129*1000)/31</f>
        <v>8806.4516129032254</v>
      </c>
      <c r="K155" s="209">
        <f t="shared" si="99"/>
        <v>10161.290322580646</v>
      </c>
      <c r="L155" s="209">
        <f t="shared" si="90"/>
        <v>18600</v>
      </c>
      <c r="M155" s="209">
        <f t="shared" si="91"/>
        <v>14645.161290322581</v>
      </c>
      <c r="N155" s="209">
        <f t="shared" si="92"/>
        <v>8300</v>
      </c>
      <c r="O155" s="209">
        <f t="shared" si="93"/>
        <v>6096.7741935483873</v>
      </c>
      <c r="P155" s="212"/>
    </row>
    <row r="156" spans="1:16">
      <c r="A156" s="270"/>
      <c r="B156" s="221">
        <v>8635150066</v>
      </c>
      <c r="C156" s="223" t="s">
        <v>53</v>
      </c>
      <c r="D156" s="209">
        <f t="shared" si="83"/>
        <v>96.774193548387103</v>
      </c>
      <c r="E156" s="209">
        <f t="shared" si="84"/>
        <v>107.14285714285714</v>
      </c>
      <c r="F156" s="209">
        <f t="shared" si="85"/>
        <v>96.774193548387103</v>
      </c>
      <c r="G156" s="209">
        <f t="shared" si="86"/>
        <v>100</v>
      </c>
      <c r="H156" s="209">
        <f t="shared" si="87"/>
        <v>1000</v>
      </c>
      <c r="I156" s="209">
        <f t="shared" si="88"/>
        <v>466.66666666666669</v>
      </c>
      <c r="J156" s="209">
        <f t="shared" ref="J156:K156" si="100">(J130*1000)/31</f>
        <v>3967.7419354838707</v>
      </c>
      <c r="K156" s="209">
        <f t="shared" si="100"/>
        <v>290.32258064516128</v>
      </c>
      <c r="L156" s="209">
        <f t="shared" si="90"/>
        <v>566.66666666666663</v>
      </c>
      <c r="M156" s="209">
        <f t="shared" si="91"/>
        <v>612.90322580645159</v>
      </c>
      <c r="N156" s="209">
        <f t="shared" si="92"/>
        <v>1000</v>
      </c>
      <c r="O156" s="209">
        <f t="shared" si="93"/>
        <v>870.9677419354839</v>
      </c>
      <c r="P156" s="212"/>
    </row>
    <row r="157" spans="1:16">
      <c r="A157" s="270"/>
      <c r="B157" s="222">
        <v>6663150208</v>
      </c>
      <c r="C157" s="223" t="s">
        <v>54</v>
      </c>
      <c r="D157" s="209">
        <f t="shared" si="83"/>
        <v>967.74193548387098</v>
      </c>
      <c r="E157" s="209">
        <f t="shared" si="84"/>
        <v>571.42857142857144</v>
      </c>
      <c r="F157" s="209">
        <f t="shared" si="85"/>
        <v>580.64516129032256</v>
      </c>
      <c r="G157" s="209">
        <f t="shared" si="86"/>
        <v>566.66666666666663</v>
      </c>
      <c r="H157" s="209">
        <f t="shared" si="87"/>
        <v>612.90322580645159</v>
      </c>
      <c r="I157" s="209">
        <f t="shared" si="88"/>
        <v>400</v>
      </c>
      <c r="J157" s="209">
        <f t="shared" ref="J157:K157" si="101">(J131*1000)/31</f>
        <v>387.09677419354841</v>
      </c>
      <c r="K157" s="209">
        <f t="shared" si="101"/>
        <v>387.09677419354841</v>
      </c>
      <c r="L157" s="209">
        <f t="shared" si="90"/>
        <v>566.66666666666663</v>
      </c>
      <c r="M157" s="209">
        <f t="shared" si="91"/>
        <v>677.41935483870964</v>
      </c>
      <c r="N157" s="209">
        <f t="shared" si="92"/>
        <v>733.33333333333337</v>
      </c>
      <c r="O157" s="209">
        <f t="shared" si="93"/>
        <v>709.67741935483866</v>
      </c>
      <c r="P157" s="212"/>
    </row>
    <row r="158" spans="1:16">
      <c r="A158" s="270"/>
      <c r="B158" s="221">
        <v>6068150813</v>
      </c>
      <c r="C158" s="223" t="s">
        <v>55</v>
      </c>
      <c r="D158" s="209">
        <f t="shared" si="83"/>
        <v>64.516129032258064</v>
      </c>
      <c r="E158" s="209">
        <f t="shared" si="84"/>
        <v>250</v>
      </c>
      <c r="F158" s="209">
        <f t="shared" si="85"/>
        <v>258.06451612903226</v>
      </c>
      <c r="G158" s="209">
        <f t="shared" si="86"/>
        <v>266.66666666666669</v>
      </c>
      <c r="H158" s="209">
        <f t="shared" si="87"/>
        <v>225.80645161290323</v>
      </c>
      <c r="I158" s="209">
        <f t="shared" si="88"/>
        <v>433.33333333333331</v>
      </c>
      <c r="J158" s="209">
        <f t="shared" ref="J158:K158" si="102">(J132*1000)/31</f>
        <v>741.93548387096769</v>
      </c>
      <c r="K158" s="209">
        <f t="shared" si="102"/>
        <v>451.61290322580646</v>
      </c>
      <c r="L158" s="209">
        <f t="shared" si="90"/>
        <v>1233.3333333333333</v>
      </c>
      <c r="M158" s="209">
        <f t="shared" si="91"/>
        <v>2516.1290322580644</v>
      </c>
      <c r="N158" s="209">
        <f t="shared" si="92"/>
        <v>1000</v>
      </c>
      <c r="O158" s="209">
        <f t="shared" si="93"/>
        <v>677.41935483870964</v>
      </c>
      <c r="P158" s="212"/>
    </row>
    <row r="159" spans="1:16">
      <c r="A159" s="270"/>
      <c r="B159" s="222">
        <v>5068150812</v>
      </c>
      <c r="C159" s="223" t="s">
        <v>56</v>
      </c>
      <c r="D159" s="209">
        <f t="shared" si="83"/>
        <v>64.516129032258064</v>
      </c>
      <c r="E159" s="209">
        <f t="shared" si="84"/>
        <v>142.85714285714286</v>
      </c>
      <c r="F159" s="209">
        <f t="shared" si="85"/>
        <v>193.54838709677421</v>
      </c>
      <c r="G159" s="209">
        <f t="shared" si="86"/>
        <v>166.66666666666666</v>
      </c>
      <c r="H159" s="209">
        <f t="shared" si="87"/>
        <v>193.54838709677421</v>
      </c>
      <c r="I159" s="209">
        <f t="shared" si="88"/>
        <v>66.666666666666671</v>
      </c>
      <c r="J159" s="209">
        <f t="shared" ref="J159:K159" si="103">(J133*1000)/31</f>
        <v>64.516129032258064</v>
      </c>
      <c r="K159" s="209">
        <f t="shared" si="103"/>
        <v>64.516129032258064</v>
      </c>
      <c r="L159" s="209">
        <f t="shared" si="90"/>
        <v>166.66666666666666</v>
      </c>
      <c r="M159" s="209">
        <f t="shared" si="91"/>
        <v>225.80645161290323</v>
      </c>
      <c r="N159" s="209">
        <f t="shared" si="92"/>
        <v>333.33333333333331</v>
      </c>
      <c r="O159" s="209">
        <f t="shared" si="93"/>
        <v>225.80645161290323</v>
      </c>
      <c r="P159" s="212"/>
    </row>
    <row r="160" spans="1:16">
      <c r="A160" s="270"/>
      <c r="B160" s="222">
        <v>2364150700</v>
      </c>
      <c r="C160" s="223" t="s">
        <v>57</v>
      </c>
      <c r="D160" s="209">
        <f t="shared" si="83"/>
        <v>1096.7741935483871</v>
      </c>
      <c r="E160" s="209">
        <f t="shared" si="84"/>
        <v>1178.5714285714287</v>
      </c>
      <c r="F160" s="209">
        <f t="shared" si="85"/>
        <v>1064.516129032258</v>
      </c>
      <c r="G160" s="209">
        <f t="shared" si="86"/>
        <v>866.66666666666663</v>
      </c>
      <c r="H160" s="209">
        <f t="shared" si="87"/>
        <v>1483.8709677419354</v>
      </c>
      <c r="I160" s="209">
        <f t="shared" si="88"/>
        <v>766.66666666666663</v>
      </c>
      <c r="J160" s="209">
        <f t="shared" ref="J160:K160" si="104">(J134*1000)/31</f>
        <v>1290.3225806451612</v>
      </c>
      <c r="K160" s="209">
        <f t="shared" si="104"/>
        <v>1322.5806451612902</v>
      </c>
      <c r="L160" s="209">
        <f t="shared" si="90"/>
        <v>2066.6666666666665</v>
      </c>
      <c r="M160" s="209">
        <f t="shared" si="91"/>
        <v>1838.7096774193549</v>
      </c>
      <c r="N160" s="209">
        <f t="shared" si="92"/>
        <v>1433.3333333333333</v>
      </c>
      <c r="O160" s="209">
        <f t="shared" si="93"/>
        <v>1548.3870967741937</v>
      </c>
      <c r="P160" s="212"/>
    </row>
    <row r="161" spans="1:16">
      <c r="A161" s="270"/>
      <c r="B161" s="222">
        <v>1364150699</v>
      </c>
      <c r="C161" s="223" t="s">
        <v>58</v>
      </c>
      <c r="D161" s="209">
        <f t="shared" si="83"/>
        <v>548.38709677419354</v>
      </c>
      <c r="E161" s="209">
        <f t="shared" si="84"/>
        <v>892.85714285714289</v>
      </c>
      <c r="F161" s="209">
        <f t="shared" si="85"/>
        <v>903.22580645161293</v>
      </c>
      <c r="G161" s="209">
        <f t="shared" si="86"/>
        <v>866.66666666666663</v>
      </c>
      <c r="H161" s="209">
        <f t="shared" si="87"/>
        <v>677.41935483870964</v>
      </c>
      <c r="I161" s="209">
        <f t="shared" si="88"/>
        <v>3133.3333333333335</v>
      </c>
      <c r="J161" s="209">
        <f t="shared" ref="J161:K161" si="105">(J135*1000)/31</f>
        <v>4354.8387096774195</v>
      </c>
      <c r="K161" s="209">
        <f t="shared" si="105"/>
        <v>5387.0967741935483</v>
      </c>
      <c r="L161" s="209">
        <f t="shared" si="90"/>
        <v>10900</v>
      </c>
      <c r="M161" s="209">
        <f t="shared" si="91"/>
        <v>6129.0322580645161</v>
      </c>
      <c r="N161" s="209">
        <f t="shared" si="92"/>
        <v>2766.6666666666665</v>
      </c>
      <c r="O161" s="209">
        <f t="shared" si="93"/>
        <v>1806.4516129032259</v>
      </c>
      <c r="P161" s="212"/>
    </row>
    <row r="162" spans="1:16">
      <c r="A162" s="270"/>
      <c r="B162" s="221">
        <v>2068150809</v>
      </c>
      <c r="C162" s="223" t="s">
        <v>59</v>
      </c>
      <c r="D162" s="209">
        <f t="shared" si="83"/>
        <v>0</v>
      </c>
      <c r="E162" s="209">
        <f t="shared" si="84"/>
        <v>0</v>
      </c>
      <c r="F162" s="209">
        <f t="shared" si="85"/>
        <v>32.258064516129032</v>
      </c>
      <c r="G162" s="209">
        <f t="shared" si="86"/>
        <v>33.333333333333336</v>
      </c>
      <c r="H162" s="209">
        <f t="shared" si="87"/>
        <v>64.516129032258064</v>
      </c>
      <c r="I162" s="209">
        <f t="shared" si="88"/>
        <v>0</v>
      </c>
      <c r="J162" s="209">
        <f t="shared" ref="J162:K162" si="106">(J136*1000)/31</f>
        <v>32.258064516129032</v>
      </c>
      <c r="K162" s="209">
        <f t="shared" si="106"/>
        <v>32.258064516129032</v>
      </c>
      <c r="L162" s="209">
        <f t="shared" si="90"/>
        <v>0</v>
      </c>
      <c r="M162" s="209">
        <f t="shared" si="91"/>
        <v>32.258064516129032</v>
      </c>
      <c r="N162" s="209">
        <f t="shared" si="92"/>
        <v>33.333333333333336</v>
      </c>
      <c r="O162" s="209">
        <f t="shared" si="93"/>
        <v>32.258064516129032</v>
      </c>
      <c r="P162" s="212"/>
    </row>
    <row r="163" spans="1:16">
      <c r="A163" s="270"/>
      <c r="B163" s="221">
        <v>5756250297</v>
      </c>
      <c r="C163" s="223" t="s">
        <v>60</v>
      </c>
      <c r="D163" s="209">
        <f t="shared" si="83"/>
        <v>4354.8387096774195</v>
      </c>
      <c r="E163" s="209">
        <f t="shared" si="84"/>
        <v>35.714285714285715</v>
      </c>
      <c r="F163" s="209">
        <f t="shared" si="85"/>
        <v>64.516129032258064</v>
      </c>
      <c r="G163" s="209">
        <f t="shared" si="86"/>
        <v>66.666666666666671</v>
      </c>
      <c r="H163" s="209">
        <f t="shared" si="87"/>
        <v>1290.3225806451612</v>
      </c>
      <c r="I163" s="209">
        <f t="shared" si="88"/>
        <v>8233.3333333333339</v>
      </c>
      <c r="J163" s="209">
        <f t="shared" ref="J163:K163" si="107">(J137*1000)/31</f>
        <v>11612.903225806451</v>
      </c>
      <c r="K163" s="209">
        <f t="shared" si="107"/>
        <v>13096.774193548386</v>
      </c>
      <c r="L163" s="209">
        <f t="shared" si="90"/>
        <v>20500</v>
      </c>
      <c r="M163" s="209">
        <f t="shared" si="91"/>
        <v>21741.935483870966</v>
      </c>
      <c r="N163" s="209">
        <f t="shared" si="92"/>
        <v>15200</v>
      </c>
      <c r="O163" s="209">
        <f t="shared" si="93"/>
        <v>14322.58064516129</v>
      </c>
      <c r="P163" s="212"/>
    </row>
    <row r="164" spans="1:16">
      <c r="A164" s="270"/>
      <c r="B164" s="222">
        <v>1665911804</v>
      </c>
      <c r="C164" s="223" t="s">
        <v>61</v>
      </c>
      <c r="D164" s="209">
        <f t="shared" si="83"/>
        <v>96.774193548387103</v>
      </c>
      <c r="E164" s="209">
        <f t="shared" si="84"/>
        <v>678.57142857142856</v>
      </c>
      <c r="F164" s="209">
        <f t="shared" si="85"/>
        <v>96.774193548387103</v>
      </c>
      <c r="G164" s="209">
        <f t="shared" si="86"/>
        <v>300</v>
      </c>
      <c r="H164" s="209">
        <f t="shared" si="87"/>
        <v>161.29032258064515</v>
      </c>
      <c r="I164" s="209">
        <f t="shared" si="88"/>
        <v>100</v>
      </c>
      <c r="J164" s="209">
        <f t="shared" ref="J164:K164" si="108">(J138*1000)/31</f>
        <v>129.03225806451613</v>
      </c>
      <c r="K164" s="209">
        <f t="shared" si="108"/>
        <v>161.29032258064515</v>
      </c>
      <c r="L164" s="209">
        <f t="shared" si="90"/>
        <v>200</v>
      </c>
      <c r="M164" s="209">
        <f t="shared" si="91"/>
        <v>193.54838709677421</v>
      </c>
      <c r="N164" s="209">
        <f t="shared" si="92"/>
        <v>466.66666666666669</v>
      </c>
      <c r="O164" s="209">
        <f t="shared" si="93"/>
        <v>354.83870967741933</v>
      </c>
      <c r="P164" s="212"/>
    </row>
    <row r="165" spans="1:16">
      <c r="A165" s="270"/>
      <c r="B165" s="222">
        <v>3054467971</v>
      </c>
      <c r="C165" s="223" t="s">
        <v>62</v>
      </c>
      <c r="D165" s="209">
        <f t="shared" si="83"/>
        <v>161.29032258064515</v>
      </c>
      <c r="E165" s="209">
        <f t="shared" si="84"/>
        <v>357.14285714285717</v>
      </c>
      <c r="F165" s="209">
        <f t="shared" si="85"/>
        <v>419.35483870967744</v>
      </c>
      <c r="G165" s="209">
        <f t="shared" si="86"/>
        <v>433.33333333333331</v>
      </c>
      <c r="H165" s="209">
        <f t="shared" si="87"/>
        <v>451.61290322580646</v>
      </c>
      <c r="I165" s="209">
        <f t="shared" si="88"/>
        <v>366.66666666666669</v>
      </c>
      <c r="J165" s="209">
        <f t="shared" ref="J165:K165" si="109">(J139*1000)/31</f>
        <v>419.35483870967744</v>
      </c>
      <c r="K165" s="209">
        <f t="shared" si="109"/>
        <v>483.87096774193549</v>
      </c>
      <c r="L165" s="209">
        <f t="shared" si="90"/>
        <v>700</v>
      </c>
      <c r="M165" s="209">
        <f t="shared" si="91"/>
        <v>774.19354838709683</v>
      </c>
      <c r="N165" s="209">
        <f t="shared" si="92"/>
        <v>1400</v>
      </c>
      <c r="O165" s="209">
        <f t="shared" si="93"/>
        <v>709.67741935483866</v>
      </c>
      <c r="P165" s="212"/>
    </row>
    <row r="166" spans="1:16">
      <c r="A166" s="270"/>
      <c r="B166" s="222">
        <v>3380811569</v>
      </c>
      <c r="C166" s="223" t="s">
        <v>63</v>
      </c>
      <c r="D166" s="209">
        <f t="shared" si="83"/>
        <v>0</v>
      </c>
      <c r="E166" s="209">
        <f t="shared" si="84"/>
        <v>0</v>
      </c>
      <c r="F166" s="209">
        <f t="shared" si="85"/>
        <v>0</v>
      </c>
      <c r="G166" s="209">
        <f t="shared" si="86"/>
        <v>0</v>
      </c>
      <c r="H166" s="209">
        <f t="shared" si="87"/>
        <v>0</v>
      </c>
      <c r="I166" s="209">
        <f t="shared" si="88"/>
        <v>0</v>
      </c>
      <c r="J166" s="209">
        <f t="shared" ref="J166:K166" si="110">(J140*1000)/31</f>
        <v>32.258064516129032</v>
      </c>
      <c r="K166" s="209">
        <f t="shared" si="110"/>
        <v>0</v>
      </c>
      <c r="L166" s="209">
        <f t="shared" si="90"/>
        <v>0</v>
      </c>
      <c r="M166" s="209">
        <f t="shared" si="91"/>
        <v>0</v>
      </c>
      <c r="N166" s="209">
        <f t="shared" si="92"/>
        <v>0</v>
      </c>
      <c r="O166" s="209">
        <f t="shared" si="93"/>
        <v>0</v>
      </c>
      <c r="P166" s="212"/>
    </row>
    <row r="167" spans="1:16">
      <c r="A167" s="212"/>
      <c r="B167" s="212"/>
      <c r="C167" s="212"/>
      <c r="D167" s="253">
        <f>SUM(D148:D166)</f>
        <v>10838.709677419356</v>
      </c>
      <c r="E167" s="331">
        <f t="shared" ref="E167:O167" si="111">SUM(E148:E166)</f>
        <v>22892.857142857141</v>
      </c>
      <c r="F167" s="331">
        <f t="shared" si="111"/>
        <v>24322.580645161288</v>
      </c>
      <c r="G167" s="331">
        <f t="shared" si="111"/>
        <v>24566.666666666672</v>
      </c>
      <c r="H167" s="331">
        <f t="shared" si="111"/>
        <v>23774.193548387091</v>
      </c>
      <c r="I167" s="331">
        <f t="shared" si="111"/>
        <v>26933.333333333332</v>
      </c>
      <c r="J167" s="331">
        <f t="shared" si="111"/>
        <v>40548.38709677419</v>
      </c>
      <c r="K167" s="331">
        <f t="shared" si="111"/>
        <v>42709.677419354834</v>
      </c>
      <c r="L167" s="331">
        <f t="shared" si="111"/>
        <v>73266.666666666657</v>
      </c>
      <c r="M167" s="331">
        <f t="shared" si="111"/>
        <v>71129.032258064515</v>
      </c>
      <c r="N167" s="331">
        <f t="shared" si="111"/>
        <v>53999.999999999993</v>
      </c>
      <c r="O167" s="331">
        <f t="shared" si="111"/>
        <v>46419.354838709674</v>
      </c>
      <c r="P167" s="212"/>
    </row>
    <row r="168" spans="1:16">
      <c r="A168" s="212"/>
      <c r="B168" s="212"/>
      <c r="C168" s="212"/>
      <c r="D168" s="212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2"/>
    </row>
    <row r="169" spans="1:16">
      <c r="A169" s="242"/>
      <c r="B169" s="242"/>
      <c r="C169" s="242"/>
      <c r="D169" s="242"/>
      <c r="E169" s="241"/>
      <c r="F169" s="241"/>
      <c r="G169" s="241"/>
      <c r="H169" s="241"/>
      <c r="I169" s="241"/>
      <c r="J169" s="241"/>
      <c r="K169" s="241"/>
      <c r="L169" s="241"/>
      <c r="M169" s="241"/>
      <c r="N169" s="241"/>
      <c r="O169" s="241"/>
      <c r="P169" s="242"/>
    </row>
    <row r="170" spans="1:16">
      <c r="A170" s="296" t="s">
        <v>72</v>
      </c>
      <c r="B170" s="288">
        <v>2022</v>
      </c>
      <c r="C170" s="287"/>
      <c r="D170" s="287"/>
      <c r="E170" s="287"/>
      <c r="F170" s="287"/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</row>
    <row r="171" spans="1:16" ht="15.75" thickBot="1">
      <c r="A171" s="289" t="s">
        <v>30</v>
      </c>
      <c r="B171" s="290" t="s">
        <v>31</v>
      </c>
      <c r="C171" s="290" t="s">
        <v>32</v>
      </c>
      <c r="D171" s="290" t="s">
        <v>33</v>
      </c>
      <c r="E171" s="290" t="s">
        <v>34</v>
      </c>
      <c r="F171" s="290" t="s">
        <v>35</v>
      </c>
      <c r="G171" s="290" t="s">
        <v>36</v>
      </c>
      <c r="H171" s="290" t="s">
        <v>37</v>
      </c>
      <c r="I171" s="290" t="s">
        <v>38</v>
      </c>
      <c r="J171" s="290" t="s">
        <v>39</v>
      </c>
      <c r="K171" s="290" t="s">
        <v>40</v>
      </c>
      <c r="L171" s="290" t="s">
        <v>41</v>
      </c>
      <c r="M171" s="290" t="s">
        <v>42</v>
      </c>
      <c r="N171" s="290" t="s">
        <v>43</v>
      </c>
      <c r="O171" s="290" t="s">
        <v>44</v>
      </c>
      <c r="P171" s="291" t="s">
        <v>100</v>
      </c>
    </row>
    <row r="172" spans="1:16">
      <c r="A172" s="287"/>
      <c r="B172" s="292">
        <v>7534810685</v>
      </c>
      <c r="C172" s="299" t="s">
        <v>45</v>
      </c>
      <c r="D172" s="295">
        <v>15</v>
      </c>
      <c r="E172" s="295">
        <v>15</v>
      </c>
      <c r="F172" s="295">
        <v>16</v>
      </c>
      <c r="G172" s="295">
        <v>17</v>
      </c>
      <c r="H172" s="295">
        <v>18</v>
      </c>
      <c r="I172" s="295">
        <v>10</v>
      </c>
      <c r="J172" s="295">
        <v>21</v>
      </c>
      <c r="K172" s="295">
        <v>19</v>
      </c>
      <c r="L172" s="295">
        <v>16</v>
      </c>
      <c r="M172" s="295">
        <v>13</v>
      </c>
      <c r="N172" s="295">
        <v>15</v>
      </c>
      <c r="O172" s="295">
        <v>18</v>
      </c>
      <c r="P172" s="298">
        <f>SUM(D172:O172)</f>
        <v>193</v>
      </c>
    </row>
    <row r="173" spans="1:16">
      <c r="A173" s="287"/>
      <c r="B173" s="292">
        <v>4366050935</v>
      </c>
      <c r="C173" s="299" t="s">
        <v>46</v>
      </c>
      <c r="D173" s="295">
        <v>9</v>
      </c>
      <c r="E173" s="295">
        <v>69</v>
      </c>
      <c r="F173" s="295">
        <v>63</v>
      </c>
      <c r="G173" s="295">
        <v>77</v>
      </c>
      <c r="H173" s="295">
        <v>28</v>
      </c>
      <c r="I173" s="295">
        <v>2</v>
      </c>
      <c r="J173" s="295">
        <v>1</v>
      </c>
      <c r="K173" s="295">
        <v>3</v>
      </c>
      <c r="L173" s="295">
        <v>31</v>
      </c>
      <c r="M173" s="295">
        <v>43</v>
      </c>
      <c r="N173" s="295">
        <v>42</v>
      </c>
      <c r="O173" s="295">
        <v>41</v>
      </c>
      <c r="P173" s="338">
        <f>SUM(D173:O173)</f>
        <v>409</v>
      </c>
    </row>
    <row r="174" spans="1:16">
      <c r="A174" s="287"/>
      <c r="B174" s="292">
        <v>6366050937</v>
      </c>
      <c r="C174" s="299" t="s">
        <v>47</v>
      </c>
      <c r="D174" s="295">
        <v>9</v>
      </c>
      <c r="E174" s="295">
        <v>20</v>
      </c>
      <c r="F174" s="295">
        <v>17</v>
      </c>
      <c r="G174" s="295">
        <v>24</v>
      </c>
      <c r="H174" s="295">
        <v>15</v>
      </c>
      <c r="I174" s="295">
        <v>12</v>
      </c>
      <c r="J174" s="295">
        <v>11</v>
      </c>
      <c r="K174" s="295">
        <v>9</v>
      </c>
      <c r="L174" s="295">
        <v>19</v>
      </c>
      <c r="M174" s="295">
        <v>19</v>
      </c>
      <c r="N174" s="295">
        <v>24</v>
      </c>
      <c r="O174" s="295">
        <v>20</v>
      </c>
      <c r="P174" s="338">
        <f t="shared" ref="P174:P190" si="112">SUM(D174:O174)</f>
        <v>199</v>
      </c>
    </row>
    <row r="175" spans="1:16">
      <c r="A175" s="287"/>
      <c r="B175" s="292">
        <v>7366050938</v>
      </c>
      <c r="C175" s="299" t="s">
        <v>48</v>
      </c>
      <c r="D175" s="295">
        <v>20</v>
      </c>
      <c r="E175" s="295">
        <v>32</v>
      </c>
      <c r="F175" s="295">
        <v>31</v>
      </c>
      <c r="G175" s="295">
        <v>33</v>
      </c>
      <c r="H175" s="295">
        <v>28</v>
      </c>
      <c r="I175" s="295">
        <v>41</v>
      </c>
      <c r="J175" s="295">
        <v>46</v>
      </c>
      <c r="K175" s="295">
        <v>48</v>
      </c>
      <c r="L175" s="295">
        <v>51</v>
      </c>
      <c r="M175" s="295">
        <v>52</v>
      </c>
      <c r="N175" s="295">
        <v>48</v>
      </c>
      <c r="O175" s="295">
        <v>48</v>
      </c>
      <c r="P175" s="338">
        <f t="shared" si="112"/>
        <v>478</v>
      </c>
    </row>
    <row r="176" spans="1:16">
      <c r="A176" s="287"/>
      <c r="B176" s="292">
        <v>3366050934</v>
      </c>
      <c r="C176" s="299" t="s">
        <v>49</v>
      </c>
      <c r="D176" s="295">
        <v>24</v>
      </c>
      <c r="E176" s="295">
        <v>151</v>
      </c>
      <c r="F176" s="295">
        <v>135</v>
      </c>
      <c r="G176" s="295">
        <v>140</v>
      </c>
      <c r="H176" s="295">
        <v>71</v>
      </c>
      <c r="I176" s="295">
        <v>35</v>
      </c>
      <c r="J176" s="295">
        <v>14</v>
      </c>
      <c r="K176" s="295">
        <v>54</v>
      </c>
      <c r="L176" s="295">
        <v>130</v>
      </c>
      <c r="M176" s="295">
        <v>176</v>
      </c>
      <c r="N176" s="295">
        <v>160</v>
      </c>
      <c r="O176" s="295">
        <v>179</v>
      </c>
      <c r="P176" s="338">
        <f t="shared" si="112"/>
        <v>1269</v>
      </c>
    </row>
    <row r="177" spans="1:16">
      <c r="A177" s="287"/>
      <c r="B177" s="292">
        <v>5581150299</v>
      </c>
      <c r="C177" s="299" t="s">
        <v>50</v>
      </c>
      <c r="D177" s="295">
        <v>269</v>
      </c>
      <c r="E177" s="295">
        <v>309</v>
      </c>
      <c r="F177" s="295">
        <v>297</v>
      </c>
      <c r="G177" s="295">
        <v>343</v>
      </c>
      <c r="H177" s="295">
        <v>269</v>
      </c>
      <c r="I177" s="295">
        <v>49</v>
      </c>
      <c r="J177" s="295">
        <v>103</v>
      </c>
      <c r="K177" s="295">
        <v>108</v>
      </c>
      <c r="L177" s="295">
        <v>161</v>
      </c>
      <c r="M177" s="295">
        <v>122</v>
      </c>
      <c r="N177" s="295">
        <v>126</v>
      </c>
      <c r="O177" s="295">
        <v>127</v>
      </c>
      <c r="P177" s="338">
        <f t="shared" si="112"/>
        <v>2283</v>
      </c>
    </row>
    <row r="178" spans="1:16">
      <c r="A178" s="287"/>
      <c r="B178" s="292">
        <v>5366050936</v>
      </c>
      <c r="C178" s="299" t="s">
        <v>51</v>
      </c>
      <c r="D178" s="295">
        <v>20</v>
      </c>
      <c r="E178" s="295">
        <v>25</v>
      </c>
      <c r="F178" s="295">
        <v>23</v>
      </c>
      <c r="G178" s="295">
        <v>28</v>
      </c>
      <c r="H178" s="295">
        <v>19</v>
      </c>
      <c r="I178" s="295">
        <v>8</v>
      </c>
      <c r="J178" s="295">
        <v>9</v>
      </c>
      <c r="K178" s="295">
        <v>29</v>
      </c>
      <c r="L178" s="295">
        <v>188</v>
      </c>
      <c r="M178" s="295">
        <v>125</v>
      </c>
      <c r="N178" s="295">
        <v>40</v>
      </c>
      <c r="O178" s="295">
        <v>179</v>
      </c>
      <c r="P178" s="338">
        <f t="shared" si="112"/>
        <v>693</v>
      </c>
    </row>
    <row r="179" spans="1:16">
      <c r="A179" s="287"/>
      <c r="B179" s="292">
        <v>2052150585</v>
      </c>
      <c r="C179" s="299" t="s">
        <v>52</v>
      </c>
      <c r="D179" s="295">
        <v>51</v>
      </c>
      <c r="E179" s="295">
        <v>144</v>
      </c>
      <c r="F179" s="295">
        <v>134</v>
      </c>
      <c r="G179" s="295">
        <v>225</v>
      </c>
      <c r="H179" s="295">
        <v>505</v>
      </c>
      <c r="I179" s="295">
        <v>341</v>
      </c>
      <c r="J179" s="295">
        <v>429</v>
      </c>
      <c r="K179" s="295">
        <v>395</v>
      </c>
      <c r="L179" s="295">
        <v>525</v>
      </c>
      <c r="M179" s="295">
        <v>307</v>
      </c>
      <c r="N179" s="295">
        <v>237</v>
      </c>
      <c r="O179" s="295">
        <v>149</v>
      </c>
      <c r="P179" s="338">
        <f t="shared" si="112"/>
        <v>3442</v>
      </c>
    </row>
    <row r="180" spans="1:16">
      <c r="A180" s="287"/>
      <c r="B180" s="292">
        <v>8635150066</v>
      </c>
      <c r="C180" s="299" t="s">
        <v>53</v>
      </c>
      <c r="D180" s="295">
        <v>17</v>
      </c>
      <c r="E180" s="295">
        <v>20</v>
      </c>
      <c r="F180" s="295">
        <v>19</v>
      </c>
      <c r="G180" s="295">
        <v>28</v>
      </c>
      <c r="H180" s="295">
        <v>24</v>
      </c>
      <c r="I180" s="295">
        <v>27</v>
      </c>
      <c r="J180" s="295">
        <v>77</v>
      </c>
      <c r="K180" s="295">
        <v>3</v>
      </c>
      <c r="L180" s="295">
        <v>68</v>
      </c>
      <c r="M180" s="295">
        <v>10</v>
      </c>
      <c r="N180" s="295">
        <v>12</v>
      </c>
      <c r="O180" s="295">
        <v>3</v>
      </c>
      <c r="P180" s="338">
        <f t="shared" si="112"/>
        <v>308</v>
      </c>
    </row>
    <row r="181" spans="1:16">
      <c r="A181" s="287"/>
      <c r="B181" s="293">
        <v>6663150208</v>
      </c>
      <c r="C181" s="299" t="s">
        <v>54</v>
      </c>
      <c r="D181" s="295">
        <v>9</v>
      </c>
      <c r="E181" s="295">
        <v>19</v>
      </c>
      <c r="F181" s="295">
        <v>21</v>
      </c>
      <c r="G181" s="295">
        <v>25</v>
      </c>
      <c r="H181" s="295">
        <v>21</v>
      </c>
      <c r="I181" s="295">
        <v>10</v>
      </c>
      <c r="J181" s="295">
        <v>9</v>
      </c>
      <c r="K181" s="295">
        <v>11</v>
      </c>
      <c r="L181" s="295">
        <v>21</v>
      </c>
      <c r="M181" s="295">
        <v>25</v>
      </c>
      <c r="N181" s="295">
        <v>36</v>
      </c>
      <c r="O181" s="295">
        <v>42</v>
      </c>
      <c r="P181" s="338">
        <f t="shared" si="112"/>
        <v>249</v>
      </c>
    </row>
    <row r="182" spans="1:16">
      <c r="A182" s="287"/>
      <c r="B182" s="292">
        <v>6068150813</v>
      </c>
      <c r="C182" s="299" t="s">
        <v>55</v>
      </c>
      <c r="D182" s="295">
        <v>6</v>
      </c>
      <c r="E182" s="295">
        <v>17</v>
      </c>
      <c r="F182" s="295">
        <v>16</v>
      </c>
      <c r="G182" s="295">
        <v>40</v>
      </c>
      <c r="H182" s="295">
        <v>231</v>
      </c>
      <c r="I182" s="295">
        <v>127</v>
      </c>
      <c r="J182" s="295">
        <v>264</v>
      </c>
      <c r="K182" s="295">
        <v>228</v>
      </c>
      <c r="L182" s="295">
        <v>267</v>
      </c>
      <c r="M182" s="295">
        <v>128</v>
      </c>
      <c r="N182" s="295">
        <v>80</v>
      </c>
      <c r="O182" s="295">
        <v>21</v>
      </c>
      <c r="P182" s="338">
        <f t="shared" si="112"/>
        <v>1425</v>
      </c>
    </row>
    <row r="183" spans="1:16">
      <c r="A183" s="287"/>
      <c r="B183" s="293">
        <v>5068150812</v>
      </c>
      <c r="C183" s="299" t="s">
        <v>56</v>
      </c>
      <c r="D183" s="295">
        <v>1</v>
      </c>
      <c r="E183" s="295">
        <v>7</v>
      </c>
      <c r="F183" s="295">
        <v>6</v>
      </c>
      <c r="G183" s="295">
        <v>10</v>
      </c>
      <c r="H183" s="295">
        <v>6</v>
      </c>
      <c r="I183" s="295">
        <v>4</v>
      </c>
      <c r="J183" s="295">
        <v>3</v>
      </c>
      <c r="K183" s="295">
        <v>5</v>
      </c>
      <c r="L183" s="295">
        <v>7</v>
      </c>
      <c r="M183" s="295">
        <v>10</v>
      </c>
      <c r="N183" s="295">
        <v>11</v>
      </c>
      <c r="O183" s="295">
        <v>9</v>
      </c>
      <c r="P183" s="338">
        <f t="shared" si="112"/>
        <v>79</v>
      </c>
    </row>
    <row r="184" spans="1:16">
      <c r="A184" s="287"/>
      <c r="B184" s="293">
        <v>2364150700</v>
      </c>
      <c r="C184" s="299" t="s">
        <v>57</v>
      </c>
      <c r="D184" s="295">
        <v>34</v>
      </c>
      <c r="E184" s="295">
        <v>40</v>
      </c>
      <c r="F184" s="295">
        <v>34</v>
      </c>
      <c r="G184" s="295">
        <v>45</v>
      </c>
      <c r="H184" s="295">
        <v>30</v>
      </c>
      <c r="I184" s="295">
        <v>38</v>
      </c>
      <c r="J184" s="295">
        <v>40</v>
      </c>
      <c r="K184" s="295">
        <v>46</v>
      </c>
      <c r="L184" s="295">
        <v>70</v>
      </c>
      <c r="M184" s="295">
        <v>52</v>
      </c>
      <c r="N184" s="295">
        <v>43</v>
      </c>
      <c r="O184" s="295">
        <v>38</v>
      </c>
      <c r="P184" s="338">
        <f t="shared" si="112"/>
        <v>510</v>
      </c>
    </row>
    <row r="185" spans="1:16">
      <c r="A185" s="287"/>
      <c r="B185" s="293">
        <v>1364150699</v>
      </c>
      <c r="C185" s="299" t="s">
        <v>58</v>
      </c>
      <c r="D185" s="295">
        <v>12</v>
      </c>
      <c r="E185" s="295">
        <v>45</v>
      </c>
      <c r="F185" s="295">
        <v>46</v>
      </c>
      <c r="G185" s="295">
        <v>52</v>
      </c>
      <c r="H185" s="295">
        <v>76</v>
      </c>
      <c r="I185" s="295">
        <v>68</v>
      </c>
      <c r="J185" s="295">
        <v>129</v>
      </c>
      <c r="K185" s="295">
        <v>113</v>
      </c>
      <c r="L185" s="295">
        <v>139</v>
      </c>
      <c r="M185" s="295">
        <v>80</v>
      </c>
      <c r="N185" s="295">
        <v>66</v>
      </c>
      <c r="O185" s="295">
        <v>37</v>
      </c>
      <c r="P185" s="338">
        <f t="shared" si="112"/>
        <v>863</v>
      </c>
    </row>
    <row r="186" spans="1:16">
      <c r="A186" s="287"/>
      <c r="B186" s="292">
        <v>2068150809</v>
      </c>
      <c r="C186" s="299" t="s">
        <v>59</v>
      </c>
      <c r="D186" s="295">
        <v>0</v>
      </c>
      <c r="E186" s="295">
        <v>1</v>
      </c>
      <c r="F186" s="295">
        <v>1</v>
      </c>
      <c r="G186" s="295">
        <v>1</v>
      </c>
      <c r="H186" s="295">
        <v>1</v>
      </c>
      <c r="I186" s="295">
        <v>1</v>
      </c>
      <c r="J186" s="295">
        <v>1</v>
      </c>
      <c r="K186" s="295">
        <v>1</v>
      </c>
      <c r="L186" s="295">
        <v>1</v>
      </c>
      <c r="M186" s="295">
        <v>1</v>
      </c>
      <c r="N186" s="295">
        <v>1</v>
      </c>
      <c r="O186" s="295">
        <v>0</v>
      </c>
      <c r="P186" s="338">
        <f t="shared" si="112"/>
        <v>10</v>
      </c>
    </row>
    <row r="187" spans="1:16">
      <c r="A187" s="287"/>
      <c r="B187" s="292">
        <v>5756250297</v>
      </c>
      <c r="C187" s="299" t="s">
        <v>60</v>
      </c>
      <c r="D187" s="293">
        <v>174</v>
      </c>
      <c r="E187" s="293">
        <v>359</v>
      </c>
      <c r="F187" s="293">
        <v>313</v>
      </c>
      <c r="G187" s="293">
        <v>410</v>
      </c>
      <c r="H187" s="293">
        <v>351</v>
      </c>
      <c r="I187" s="293">
        <v>203</v>
      </c>
      <c r="J187" s="293">
        <v>367</v>
      </c>
      <c r="K187" s="293">
        <v>455</v>
      </c>
      <c r="L187" s="293">
        <v>650</v>
      </c>
      <c r="M187" s="293">
        <v>523</v>
      </c>
      <c r="N187" s="293">
        <v>415</v>
      </c>
      <c r="O187" s="293">
        <v>303</v>
      </c>
      <c r="P187" s="338">
        <f t="shared" si="112"/>
        <v>4523</v>
      </c>
    </row>
    <row r="188" spans="1:16">
      <c r="A188" s="287"/>
      <c r="B188" s="293">
        <v>1665911804</v>
      </c>
      <c r="C188" s="299" t="s">
        <v>61</v>
      </c>
      <c r="D188" s="295">
        <v>4</v>
      </c>
      <c r="E188" s="295">
        <v>5</v>
      </c>
      <c r="F188" s="295">
        <v>5</v>
      </c>
      <c r="G188" s="295">
        <v>7</v>
      </c>
      <c r="H188" s="295">
        <v>8</v>
      </c>
      <c r="I188" s="295">
        <v>2</v>
      </c>
      <c r="J188" s="295">
        <v>6</v>
      </c>
      <c r="K188" s="295">
        <v>7</v>
      </c>
      <c r="L188" s="295">
        <v>17</v>
      </c>
      <c r="M188" s="295">
        <v>6</v>
      </c>
      <c r="N188" s="295">
        <v>15</v>
      </c>
      <c r="O188" s="295">
        <v>6</v>
      </c>
      <c r="P188" s="338">
        <f t="shared" si="112"/>
        <v>88</v>
      </c>
    </row>
    <row r="189" spans="1:16">
      <c r="A189" s="287"/>
      <c r="B189" s="293">
        <v>3054467971</v>
      </c>
      <c r="C189" s="299" t="s">
        <v>62</v>
      </c>
      <c r="D189" s="295">
        <v>10</v>
      </c>
      <c r="E189" s="295">
        <v>14</v>
      </c>
      <c r="F189" s="295">
        <v>18</v>
      </c>
      <c r="G189" s="295">
        <v>22</v>
      </c>
      <c r="H189" s="295">
        <v>18</v>
      </c>
      <c r="I189" s="295">
        <v>13</v>
      </c>
      <c r="J189" s="295">
        <v>38</v>
      </c>
      <c r="K189" s="295">
        <v>22</v>
      </c>
      <c r="L189" s="295">
        <v>27</v>
      </c>
      <c r="M189" s="295">
        <v>26</v>
      </c>
      <c r="N189" s="295">
        <v>24</v>
      </c>
      <c r="O189" s="295">
        <v>23</v>
      </c>
      <c r="P189" s="338">
        <f t="shared" si="112"/>
        <v>255</v>
      </c>
    </row>
    <row r="190" spans="1:16">
      <c r="A190" s="287"/>
      <c r="B190" s="293">
        <v>3380811569</v>
      </c>
      <c r="C190" s="299" t="s">
        <v>63</v>
      </c>
      <c r="D190" s="295">
        <v>0</v>
      </c>
      <c r="E190" s="295">
        <v>0</v>
      </c>
      <c r="F190" s="295">
        <v>0</v>
      </c>
      <c r="G190" s="295">
        <v>1</v>
      </c>
      <c r="H190" s="295">
        <v>0</v>
      </c>
      <c r="I190" s="295">
        <v>0</v>
      </c>
      <c r="J190" s="295">
        <v>1</v>
      </c>
      <c r="K190" s="295">
        <v>0</v>
      </c>
      <c r="L190" s="295">
        <v>1</v>
      </c>
      <c r="M190" s="295">
        <v>0</v>
      </c>
      <c r="N190" s="295">
        <v>1</v>
      </c>
      <c r="O190" s="295">
        <v>1</v>
      </c>
      <c r="P190" s="338">
        <f t="shared" si="112"/>
        <v>5</v>
      </c>
    </row>
    <row r="191" spans="1:16">
      <c r="A191" s="287"/>
      <c r="B191" s="287"/>
      <c r="C191" s="287"/>
      <c r="D191" s="297">
        <f>SUM(D172:D190)</f>
        <v>684</v>
      </c>
      <c r="E191" s="337">
        <f t="shared" ref="E191:O191" si="113">SUM(E172:E190)</f>
        <v>1292</v>
      </c>
      <c r="F191" s="337">
        <f t="shared" si="113"/>
        <v>1195</v>
      </c>
      <c r="G191" s="337">
        <f t="shared" si="113"/>
        <v>1528</v>
      </c>
      <c r="H191" s="337">
        <f t="shared" si="113"/>
        <v>1719</v>
      </c>
      <c r="I191" s="337">
        <f t="shared" si="113"/>
        <v>991</v>
      </c>
      <c r="J191" s="337">
        <f t="shared" si="113"/>
        <v>1569</v>
      </c>
      <c r="K191" s="337">
        <f t="shared" si="113"/>
        <v>1556</v>
      </c>
      <c r="L191" s="337">
        <f t="shared" si="113"/>
        <v>2389</v>
      </c>
      <c r="M191" s="337">
        <f t="shared" si="113"/>
        <v>1718</v>
      </c>
      <c r="N191" s="337">
        <f t="shared" si="113"/>
        <v>1396</v>
      </c>
      <c r="O191" s="337">
        <f t="shared" si="113"/>
        <v>1244</v>
      </c>
      <c r="P191" s="337">
        <f>SUM(P172:P190)</f>
        <v>17281</v>
      </c>
    </row>
    <row r="192" spans="1:16">
      <c r="A192" s="212"/>
      <c r="B192" s="212"/>
      <c r="C192" s="212"/>
      <c r="D192" s="212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2"/>
    </row>
    <row r="193" spans="1:16">
      <c r="A193" s="287"/>
      <c r="B193" s="287"/>
      <c r="C193" s="294" t="s">
        <v>64</v>
      </c>
      <c r="D193" s="268">
        <f>D191*1000</f>
        <v>684000</v>
      </c>
      <c r="E193" s="333">
        <f t="shared" ref="E193:P193" si="114">E191*1000</f>
        <v>1292000</v>
      </c>
      <c r="F193" s="333">
        <f t="shared" si="114"/>
        <v>1195000</v>
      </c>
      <c r="G193" s="333">
        <f t="shared" si="114"/>
        <v>1528000</v>
      </c>
      <c r="H193" s="333">
        <f t="shared" si="114"/>
        <v>1719000</v>
      </c>
      <c r="I193" s="333">
        <f t="shared" si="114"/>
        <v>991000</v>
      </c>
      <c r="J193" s="333">
        <f t="shared" si="114"/>
        <v>1569000</v>
      </c>
      <c r="K193" s="333">
        <f t="shared" si="114"/>
        <v>1556000</v>
      </c>
      <c r="L193" s="333">
        <f t="shared" si="114"/>
        <v>2389000</v>
      </c>
      <c r="M193" s="333">
        <f t="shared" si="114"/>
        <v>1718000</v>
      </c>
      <c r="N193" s="333">
        <f t="shared" si="114"/>
        <v>1396000</v>
      </c>
      <c r="O193" s="333">
        <f t="shared" si="114"/>
        <v>1244000</v>
      </c>
      <c r="P193" s="333">
        <f t="shared" si="114"/>
        <v>17281000</v>
      </c>
    </row>
    <row r="194" spans="1:16">
      <c r="A194" s="212"/>
      <c r="B194" s="212"/>
      <c r="C194" s="212"/>
      <c r="D194" s="212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2"/>
    </row>
    <row r="195" spans="1:16">
      <c r="A195" s="212"/>
      <c r="B195" s="212"/>
      <c r="C195" s="212"/>
      <c r="D195" s="212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2"/>
    </row>
    <row r="196" spans="1:16">
      <c r="A196" s="255" t="s">
        <v>73</v>
      </c>
      <c r="B196" s="287"/>
      <c r="C196" s="287"/>
      <c r="D196" s="287"/>
      <c r="E196" s="287"/>
      <c r="F196" s="287"/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</row>
    <row r="197" spans="1:16" ht="15.75" thickBot="1">
      <c r="A197" s="254" t="s">
        <v>30</v>
      </c>
      <c r="B197" s="215" t="s">
        <v>31</v>
      </c>
      <c r="C197" s="216" t="s">
        <v>32</v>
      </c>
      <c r="D197" s="217" t="s">
        <v>33</v>
      </c>
      <c r="E197" s="218" t="s">
        <v>34</v>
      </c>
      <c r="F197" s="219" t="s">
        <v>35</v>
      </c>
      <c r="G197" s="219" t="s">
        <v>36</v>
      </c>
      <c r="H197" s="219" t="s">
        <v>37</v>
      </c>
      <c r="I197" s="219" t="s">
        <v>38</v>
      </c>
      <c r="J197" s="219" t="s">
        <v>39</v>
      </c>
      <c r="K197" s="219" t="s">
        <v>40</v>
      </c>
      <c r="L197" s="219" t="s">
        <v>41</v>
      </c>
      <c r="M197" s="219" t="s">
        <v>42</v>
      </c>
      <c r="N197" s="219" t="s">
        <v>43</v>
      </c>
      <c r="O197" s="219" t="s">
        <v>44</v>
      </c>
      <c r="P197" s="287"/>
    </row>
    <row r="198" spans="1:16">
      <c r="A198" s="270"/>
      <c r="B198" s="220">
        <v>7534810685</v>
      </c>
      <c r="C198" s="223" t="s">
        <v>45</v>
      </c>
      <c r="D198" s="209">
        <f>(D172*1000)/31</f>
        <v>483.87096774193549</v>
      </c>
      <c r="E198" s="209">
        <f>(E172*1000)/28</f>
        <v>535.71428571428567</v>
      </c>
      <c r="F198" s="209">
        <f>(F172*1000)/31</f>
        <v>516.12903225806451</v>
      </c>
      <c r="G198" s="209">
        <f>(G172*1000)/30</f>
        <v>566.66666666666663</v>
      </c>
      <c r="H198" s="209">
        <f>(H172*1000)/31</f>
        <v>580.64516129032256</v>
      </c>
      <c r="I198" s="209">
        <f>(I172*1000)/30</f>
        <v>333.33333333333331</v>
      </c>
      <c r="J198" s="209">
        <f>(J172*1000)/31</f>
        <v>677.41935483870964</v>
      </c>
      <c r="K198" s="209">
        <f>(K172*1000)/31</f>
        <v>612.90322580645159</v>
      </c>
      <c r="L198" s="209">
        <f>(L172*1000)/30</f>
        <v>533.33333333333337</v>
      </c>
      <c r="M198" s="209">
        <f>(M172*1000)/31</f>
        <v>419.35483870967744</v>
      </c>
      <c r="N198" s="209">
        <f>(N172*1000)/30</f>
        <v>500</v>
      </c>
      <c r="O198" s="209">
        <f>(O172*1000)/31</f>
        <v>580.64516129032256</v>
      </c>
      <c r="P198" s="287"/>
    </row>
    <row r="199" spans="1:16">
      <c r="A199" s="270"/>
      <c r="B199" s="220">
        <v>4366050935</v>
      </c>
      <c r="C199" s="223" t="s">
        <v>46</v>
      </c>
      <c r="D199" s="209">
        <f t="shared" ref="D199:D216" si="115">(D173*1000)/31</f>
        <v>290.32258064516128</v>
      </c>
      <c r="E199" s="209">
        <f t="shared" ref="E199:E216" si="116">(E173*1000)/28</f>
        <v>2464.2857142857142</v>
      </c>
      <c r="F199" s="209">
        <f t="shared" ref="F199:F216" si="117">(F173*1000)/31</f>
        <v>2032.258064516129</v>
      </c>
      <c r="G199" s="209">
        <f t="shared" ref="G199:G216" si="118">(G173*1000)/30</f>
        <v>2566.6666666666665</v>
      </c>
      <c r="H199" s="209">
        <f t="shared" ref="H199:H216" si="119">(H173*1000)/31</f>
        <v>903.22580645161293</v>
      </c>
      <c r="I199" s="209">
        <f t="shared" ref="I199:I216" si="120">(I173*1000)/30</f>
        <v>66.666666666666671</v>
      </c>
      <c r="J199" s="209">
        <f t="shared" ref="J199:K199" si="121">(J173*1000)/31</f>
        <v>32.258064516129032</v>
      </c>
      <c r="K199" s="209">
        <f t="shared" si="121"/>
        <v>96.774193548387103</v>
      </c>
      <c r="L199" s="209">
        <f t="shared" ref="L199:L216" si="122">(L173*1000)/30</f>
        <v>1033.3333333333333</v>
      </c>
      <c r="M199" s="209">
        <f t="shared" ref="M199:M216" si="123">(M173*1000)/31</f>
        <v>1387.0967741935483</v>
      </c>
      <c r="N199" s="209">
        <f t="shared" ref="N199:N216" si="124">(N173*1000)/30</f>
        <v>1400</v>
      </c>
      <c r="O199" s="209">
        <f t="shared" ref="O199:O216" si="125">(O173*1000)/31</f>
        <v>1322.5806451612902</v>
      </c>
      <c r="P199" s="287"/>
    </row>
    <row r="200" spans="1:16">
      <c r="A200" s="270"/>
      <c r="B200" s="220">
        <v>6366050937</v>
      </c>
      <c r="C200" s="223" t="s">
        <v>47</v>
      </c>
      <c r="D200" s="209">
        <f t="shared" si="115"/>
        <v>290.32258064516128</v>
      </c>
      <c r="E200" s="209">
        <f t="shared" si="116"/>
        <v>714.28571428571433</v>
      </c>
      <c r="F200" s="209">
        <f t="shared" si="117"/>
        <v>548.38709677419354</v>
      </c>
      <c r="G200" s="209">
        <f t="shared" si="118"/>
        <v>800</v>
      </c>
      <c r="H200" s="209">
        <f t="shared" si="119"/>
        <v>483.87096774193549</v>
      </c>
      <c r="I200" s="209">
        <f t="shared" si="120"/>
        <v>400</v>
      </c>
      <c r="J200" s="209">
        <f t="shared" ref="J200:K200" si="126">(J174*1000)/31</f>
        <v>354.83870967741933</v>
      </c>
      <c r="K200" s="209">
        <f t="shared" si="126"/>
        <v>290.32258064516128</v>
      </c>
      <c r="L200" s="209">
        <f t="shared" si="122"/>
        <v>633.33333333333337</v>
      </c>
      <c r="M200" s="209">
        <f t="shared" si="123"/>
        <v>612.90322580645159</v>
      </c>
      <c r="N200" s="209">
        <f t="shared" si="124"/>
        <v>800</v>
      </c>
      <c r="O200" s="209">
        <f t="shared" si="125"/>
        <v>645.16129032258061</v>
      </c>
      <c r="P200" s="287"/>
    </row>
    <row r="201" spans="1:16">
      <c r="A201" s="270"/>
      <c r="B201" s="220">
        <v>7366050938</v>
      </c>
      <c r="C201" s="223" t="s">
        <v>48</v>
      </c>
      <c r="D201" s="209">
        <f t="shared" si="115"/>
        <v>645.16129032258061</v>
      </c>
      <c r="E201" s="209">
        <f t="shared" si="116"/>
        <v>1142.8571428571429</v>
      </c>
      <c r="F201" s="209">
        <f t="shared" si="117"/>
        <v>1000</v>
      </c>
      <c r="G201" s="209">
        <f t="shared" si="118"/>
        <v>1100</v>
      </c>
      <c r="H201" s="209">
        <f t="shared" si="119"/>
        <v>903.22580645161293</v>
      </c>
      <c r="I201" s="209">
        <f t="shared" si="120"/>
        <v>1366.6666666666667</v>
      </c>
      <c r="J201" s="209">
        <f t="shared" ref="J201:K201" si="127">(J175*1000)/31</f>
        <v>1483.8709677419354</v>
      </c>
      <c r="K201" s="209">
        <f t="shared" si="127"/>
        <v>1548.3870967741937</v>
      </c>
      <c r="L201" s="209">
        <f t="shared" si="122"/>
        <v>1700</v>
      </c>
      <c r="M201" s="209">
        <f t="shared" si="123"/>
        <v>1677.4193548387098</v>
      </c>
      <c r="N201" s="209">
        <f t="shared" si="124"/>
        <v>1600</v>
      </c>
      <c r="O201" s="209">
        <f t="shared" si="125"/>
        <v>1548.3870967741937</v>
      </c>
      <c r="P201" s="287"/>
    </row>
    <row r="202" spans="1:16">
      <c r="A202" s="270"/>
      <c r="B202" s="220">
        <v>3366050934</v>
      </c>
      <c r="C202" s="223" t="s">
        <v>49</v>
      </c>
      <c r="D202" s="209">
        <f t="shared" si="115"/>
        <v>774.19354838709683</v>
      </c>
      <c r="E202" s="209">
        <f t="shared" si="116"/>
        <v>5392.8571428571431</v>
      </c>
      <c r="F202" s="209">
        <f t="shared" si="117"/>
        <v>4354.8387096774195</v>
      </c>
      <c r="G202" s="209">
        <f t="shared" si="118"/>
        <v>4666.666666666667</v>
      </c>
      <c r="H202" s="209">
        <f t="shared" si="119"/>
        <v>2290.3225806451615</v>
      </c>
      <c r="I202" s="209">
        <f t="shared" si="120"/>
        <v>1166.6666666666667</v>
      </c>
      <c r="J202" s="209">
        <f t="shared" ref="J202:K202" si="128">(J176*1000)/31</f>
        <v>451.61290322580646</v>
      </c>
      <c r="K202" s="209">
        <f t="shared" si="128"/>
        <v>1741.9354838709678</v>
      </c>
      <c r="L202" s="209">
        <f t="shared" si="122"/>
        <v>4333.333333333333</v>
      </c>
      <c r="M202" s="209">
        <f t="shared" si="123"/>
        <v>5677.4193548387093</v>
      </c>
      <c r="N202" s="209">
        <f t="shared" si="124"/>
        <v>5333.333333333333</v>
      </c>
      <c r="O202" s="209">
        <f t="shared" si="125"/>
        <v>5774.1935483870966</v>
      </c>
      <c r="P202" s="212"/>
    </row>
    <row r="203" spans="1:16">
      <c r="A203" s="270"/>
      <c r="B203" s="221">
        <v>5581150299</v>
      </c>
      <c r="C203" s="223" t="s">
        <v>50</v>
      </c>
      <c r="D203" s="209">
        <f t="shared" si="115"/>
        <v>8677.4193548387102</v>
      </c>
      <c r="E203" s="209">
        <f t="shared" si="116"/>
        <v>11035.714285714286</v>
      </c>
      <c r="F203" s="209">
        <f t="shared" si="117"/>
        <v>9580.645161290322</v>
      </c>
      <c r="G203" s="209">
        <f t="shared" si="118"/>
        <v>11433.333333333334</v>
      </c>
      <c r="H203" s="209">
        <f t="shared" si="119"/>
        <v>8677.4193548387102</v>
      </c>
      <c r="I203" s="209">
        <f t="shared" si="120"/>
        <v>1633.3333333333333</v>
      </c>
      <c r="J203" s="209">
        <f t="shared" ref="J203:K203" si="129">(J177*1000)/31</f>
        <v>3322.5806451612902</v>
      </c>
      <c r="K203" s="209">
        <f t="shared" si="129"/>
        <v>3483.8709677419356</v>
      </c>
      <c r="L203" s="209">
        <f t="shared" si="122"/>
        <v>5366.666666666667</v>
      </c>
      <c r="M203" s="209">
        <f t="shared" si="123"/>
        <v>3935.483870967742</v>
      </c>
      <c r="N203" s="209">
        <f t="shared" si="124"/>
        <v>4200</v>
      </c>
      <c r="O203" s="209">
        <f t="shared" si="125"/>
        <v>4096.7741935483873</v>
      </c>
      <c r="P203" s="212"/>
    </row>
    <row r="204" spans="1:16">
      <c r="A204" s="270"/>
      <c r="B204" s="221">
        <v>5366050936</v>
      </c>
      <c r="C204" s="223" t="s">
        <v>51</v>
      </c>
      <c r="D204" s="209">
        <f t="shared" si="115"/>
        <v>645.16129032258061</v>
      </c>
      <c r="E204" s="209">
        <f t="shared" si="116"/>
        <v>892.85714285714289</v>
      </c>
      <c r="F204" s="209">
        <f t="shared" si="117"/>
        <v>741.93548387096769</v>
      </c>
      <c r="G204" s="209">
        <f t="shared" si="118"/>
        <v>933.33333333333337</v>
      </c>
      <c r="H204" s="209">
        <f t="shared" si="119"/>
        <v>612.90322580645159</v>
      </c>
      <c r="I204" s="209">
        <f t="shared" si="120"/>
        <v>266.66666666666669</v>
      </c>
      <c r="J204" s="209">
        <f t="shared" ref="J204:K204" si="130">(J178*1000)/31</f>
        <v>290.32258064516128</v>
      </c>
      <c r="K204" s="209">
        <f t="shared" si="130"/>
        <v>935.48387096774195</v>
      </c>
      <c r="L204" s="209">
        <f t="shared" si="122"/>
        <v>6266.666666666667</v>
      </c>
      <c r="M204" s="209">
        <f t="shared" si="123"/>
        <v>4032.2580645161293</v>
      </c>
      <c r="N204" s="209">
        <f t="shared" si="124"/>
        <v>1333.3333333333333</v>
      </c>
      <c r="O204" s="209">
        <f t="shared" si="125"/>
        <v>5774.1935483870966</v>
      </c>
      <c r="P204" s="212"/>
    </row>
    <row r="205" spans="1:16">
      <c r="A205" s="287"/>
      <c r="B205" s="221">
        <v>2052150585</v>
      </c>
      <c r="C205" s="223" t="s">
        <v>52</v>
      </c>
      <c r="D205" s="209">
        <f t="shared" si="115"/>
        <v>1645.1612903225807</v>
      </c>
      <c r="E205" s="209">
        <f t="shared" si="116"/>
        <v>5142.8571428571431</v>
      </c>
      <c r="F205" s="209">
        <f t="shared" si="117"/>
        <v>4322.5806451612907</v>
      </c>
      <c r="G205" s="209">
        <f t="shared" si="118"/>
        <v>7500</v>
      </c>
      <c r="H205" s="209">
        <f t="shared" si="119"/>
        <v>16290.322580645161</v>
      </c>
      <c r="I205" s="209">
        <f t="shared" si="120"/>
        <v>11366.666666666666</v>
      </c>
      <c r="J205" s="209">
        <f t="shared" ref="J205:K205" si="131">(J179*1000)/31</f>
        <v>13838.709677419354</v>
      </c>
      <c r="K205" s="209">
        <f t="shared" si="131"/>
        <v>12741.935483870968</v>
      </c>
      <c r="L205" s="209">
        <f t="shared" si="122"/>
        <v>17500</v>
      </c>
      <c r="M205" s="209">
        <f t="shared" si="123"/>
        <v>9903.2258064516136</v>
      </c>
      <c r="N205" s="209">
        <f t="shared" si="124"/>
        <v>7900</v>
      </c>
      <c r="O205" s="209">
        <f t="shared" si="125"/>
        <v>4806.4516129032254</v>
      </c>
      <c r="P205" s="212"/>
    </row>
    <row r="206" spans="1:16">
      <c r="A206" s="270"/>
      <c r="B206" s="221">
        <v>8635150066</v>
      </c>
      <c r="C206" s="223" t="s">
        <v>53</v>
      </c>
      <c r="D206" s="209">
        <f t="shared" si="115"/>
        <v>548.38709677419354</v>
      </c>
      <c r="E206" s="209">
        <f t="shared" si="116"/>
        <v>714.28571428571433</v>
      </c>
      <c r="F206" s="209">
        <f t="shared" si="117"/>
        <v>612.90322580645159</v>
      </c>
      <c r="G206" s="209">
        <f t="shared" si="118"/>
        <v>933.33333333333337</v>
      </c>
      <c r="H206" s="209">
        <f t="shared" si="119"/>
        <v>774.19354838709683</v>
      </c>
      <c r="I206" s="209">
        <f t="shared" si="120"/>
        <v>900</v>
      </c>
      <c r="J206" s="209">
        <f t="shared" ref="J206:K206" si="132">(J180*1000)/31</f>
        <v>2483.8709677419356</v>
      </c>
      <c r="K206" s="209">
        <f t="shared" si="132"/>
        <v>96.774193548387103</v>
      </c>
      <c r="L206" s="209">
        <f t="shared" si="122"/>
        <v>2266.6666666666665</v>
      </c>
      <c r="M206" s="209">
        <f t="shared" si="123"/>
        <v>322.58064516129031</v>
      </c>
      <c r="N206" s="209">
        <f t="shared" si="124"/>
        <v>400</v>
      </c>
      <c r="O206" s="209">
        <f t="shared" si="125"/>
        <v>96.774193548387103</v>
      </c>
      <c r="P206" s="212"/>
    </row>
    <row r="207" spans="1:16">
      <c r="A207" s="270"/>
      <c r="B207" s="222">
        <v>6663150208</v>
      </c>
      <c r="C207" s="223" t="s">
        <v>54</v>
      </c>
      <c r="D207" s="209">
        <f t="shared" si="115"/>
        <v>290.32258064516128</v>
      </c>
      <c r="E207" s="209">
        <f t="shared" si="116"/>
        <v>678.57142857142856</v>
      </c>
      <c r="F207" s="209">
        <f t="shared" si="117"/>
        <v>677.41935483870964</v>
      </c>
      <c r="G207" s="209">
        <f t="shared" si="118"/>
        <v>833.33333333333337</v>
      </c>
      <c r="H207" s="209">
        <f t="shared" si="119"/>
        <v>677.41935483870964</v>
      </c>
      <c r="I207" s="209">
        <f t="shared" si="120"/>
        <v>333.33333333333331</v>
      </c>
      <c r="J207" s="209">
        <f t="shared" ref="J207:K207" si="133">(J181*1000)/31</f>
        <v>290.32258064516128</v>
      </c>
      <c r="K207" s="209">
        <f t="shared" si="133"/>
        <v>354.83870967741933</v>
      </c>
      <c r="L207" s="209">
        <f t="shared" si="122"/>
        <v>700</v>
      </c>
      <c r="M207" s="209">
        <f t="shared" si="123"/>
        <v>806.45161290322585</v>
      </c>
      <c r="N207" s="209">
        <f t="shared" si="124"/>
        <v>1200</v>
      </c>
      <c r="O207" s="209">
        <f t="shared" si="125"/>
        <v>1354.8387096774193</v>
      </c>
      <c r="P207" s="212"/>
    </row>
    <row r="208" spans="1:16">
      <c r="A208" s="270"/>
      <c r="B208" s="221">
        <v>6068150813</v>
      </c>
      <c r="C208" s="223" t="s">
        <v>55</v>
      </c>
      <c r="D208" s="209">
        <f t="shared" si="115"/>
        <v>193.54838709677421</v>
      </c>
      <c r="E208" s="209">
        <f t="shared" si="116"/>
        <v>607.14285714285711</v>
      </c>
      <c r="F208" s="209">
        <f t="shared" si="117"/>
        <v>516.12903225806451</v>
      </c>
      <c r="G208" s="209">
        <f t="shared" si="118"/>
        <v>1333.3333333333333</v>
      </c>
      <c r="H208" s="209">
        <f t="shared" si="119"/>
        <v>7451.6129032258068</v>
      </c>
      <c r="I208" s="209">
        <f t="shared" si="120"/>
        <v>4233.333333333333</v>
      </c>
      <c r="J208" s="209">
        <f t="shared" ref="J208:K208" si="134">(J182*1000)/31</f>
        <v>8516.1290322580644</v>
      </c>
      <c r="K208" s="209">
        <f t="shared" si="134"/>
        <v>7354.8387096774195</v>
      </c>
      <c r="L208" s="209">
        <f t="shared" si="122"/>
        <v>8900</v>
      </c>
      <c r="M208" s="209">
        <f t="shared" si="123"/>
        <v>4129.0322580645161</v>
      </c>
      <c r="N208" s="209">
        <f t="shared" si="124"/>
        <v>2666.6666666666665</v>
      </c>
      <c r="O208" s="209">
        <f t="shared" si="125"/>
        <v>677.41935483870964</v>
      </c>
      <c r="P208" s="212"/>
    </row>
    <row r="209" spans="1:16">
      <c r="A209" s="270"/>
      <c r="B209" s="222">
        <v>5068150812</v>
      </c>
      <c r="C209" s="223" t="s">
        <v>56</v>
      </c>
      <c r="D209" s="209">
        <f t="shared" si="115"/>
        <v>32.258064516129032</v>
      </c>
      <c r="E209" s="209">
        <f t="shared" si="116"/>
        <v>250</v>
      </c>
      <c r="F209" s="209">
        <f t="shared" si="117"/>
        <v>193.54838709677421</v>
      </c>
      <c r="G209" s="209">
        <f t="shared" si="118"/>
        <v>333.33333333333331</v>
      </c>
      <c r="H209" s="209">
        <f t="shared" si="119"/>
        <v>193.54838709677421</v>
      </c>
      <c r="I209" s="209">
        <f t="shared" si="120"/>
        <v>133.33333333333334</v>
      </c>
      <c r="J209" s="209">
        <f t="shared" ref="J209:K209" si="135">(J183*1000)/31</f>
        <v>96.774193548387103</v>
      </c>
      <c r="K209" s="209">
        <f t="shared" si="135"/>
        <v>161.29032258064515</v>
      </c>
      <c r="L209" s="209">
        <f t="shared" si="122"/>
        <v>233.33333333333334</v>
      </c>
      <c r="M209" s="209">
        <f t="shared" si="123"/>
        <v>322.58064516129031</v>
      </c>
      <c r="N209" s="209">
        <f t="shared" si="124"/>
        <v>366.66666666666669</v>
      </c>
      <c r="O209" s="209">
        <f t="shared" si="125"/>
        <v>290.32258064516128</v>
      </c>
      <c r="P209" s="212"/>
    </row>
    <row r="210" spans="1:16">
      <c r="A210" s="270"/>
      <c r="B210" s="222">
        <v>2364150700</v>
      </c>
      <c r="C210" s="223" t="s">
        <v>57</v>
      </c>
      <c r="D210" s="209">
        <f t="shared" si="115"/>
        <v>1096.7741935483871</v>
      </c>
      <c r="E210" s="209">
        <f t="shared" si="116"/>
        <v>1428.5714285714287</v>
      </c>
      <c r="F210" s="209">
        <f t="shared" si="117"/>
        <v>1096.7741935483871</v>
      </c>
      <c r="G210" s="209">
        <f t="shared" si="118"/>
        <v>1500</v>
      </c>
      <c r="H210" s="209">
        <f t="shared" si="119"/>
        <v>967.74193548387098</v>
      </c>
      <c r="I210" s="209">
        <f t="shared" si="120"/>
        <v>1266.6666666666667</v>
      </c>
      <c r="J210" s="209">
        <f t="shared" ref="J210:K210" si="136">(J184*1000)/31</f>
        <v>1290.3225806451612</v>
      </c>
      <c r="K210" s="209">
        <f t="shared" si="136"/>
        <v>1483.8709677419354</v>
      </c>
      <c r="L210" s="209">
        <f t="shared" si="122"/>
        <v>2333.3333333333335</v>
      </c>
      <c r="M210" s="209">
        <f t="shared" si="123"/>
        <v>1677.4193548387098</v>
      </c>
      <c r="N210" s="209">
        <f t="shared" si="124"/>
        <v>1433.3333333333333</v>
      </c>
      <c r="O210" s="209">
        <f t="shared" si="125"/>
        <v>1225.8064516129032</v>
      </c>
      <c r="P210" s="212"/>
    </row>
    <row r="211" spans="1:16">
      <c r="A211" s="270"/>
      <c r="B211" s="222">
        <v>1364150699</v>
      </c>
      <c r="C211" s="223" t="s">
        <v>58</v>
      </c>
      <c r="D211" s="209">
        <f t="shared" si="115"/>
        <v>387.09677419354841</v>
      </c>
      <c r="E211" s="209">
        <f t="shared" si="116"/>
        <v>1607.1428571428571</v>
      </c>
      <c r="F211" s="209">
        <f t="shared" si="117"/>
        <v>1483.8709677419354</v>
      </c>
      <c r="G211" s="209">
        <f t="shared" si="118"/>
        <v>1733.3333333333333</v>
      </c>
      <c r="H211" s="209">
        <f t="shared" si="119"/>
        <v>2451.6129032258063</v>
      </c>
      <c r="I211" s="209">
        <f t="shared" si="120"/>
        <v>2266.6666666666665</v>
      </c>
      <c r="J211" s="209">
        <f t="shared" ref="J211:K211" si="137">(J185*1000)/31</f>
        <v>4161.2903225806449</v>
      </c>
      <c r="K211" s="209">
        <f t="shared" si="137"/>
        <v>3645.1612903225805</v>
      </c>
      <c r="L211" s="209">
        <f t="shared" si="122"/>
        <v>4633.333333333333</v>
      </c>
      <c r="M211" s="209">
        <f t="shared" si="123"/>
        <v>2580.6451612903224</v>
      </c>
      <c r="N211" s="209">
        <f t="shared" si="124"/>
        <v>2200</v>
      </c>
      <c r="O211" s="209">
        <f t="shared" si="125"/>
        <v>1193.5483870967741</v>
      </c>
      <c r="P211" s="212"/>
    </row>
    <row r="212" spans="1:16">
      <c r="A212" s="270"/>
      <c r="B212" s="221">
        <v>2068150809</v>
      </c>
      <c r="C212" s="223" t="s">
        <v>59</v>
      </c>
      <c r="D212" s="209">
        <f t="shared" si="115"/>
        <v>0</v>
      </c>
      <c r="E212" s="209">
        <f t="shared" si="116"/>
        <v>35.714285714285715</v>
      </c>
      <c r="F212" s="209">
        <f t="shared" si="117"/>
        <v>32.258064516129032</v>
      </c>
      <c r="G212" s="209">
        <f t="shared" si="118"/>
        <v>33.333333333333336</v>
      </c>
      <c r="H212" s="209">
        <f t="shared" si="119"/>
        <v>32.258064516129032</v>
      </c>
      <c r="I212" s="209">
        <f t="shared" si="120"/>
        <v>33.333333333333336</v>
      </c>
      <c r="J212" s="209">
        <f t="shared" ref="J212:K212" si="138">(J186*1000)/31</f>
        <v>32.258064516129032</v>
      </c>
      <c r="K212" s="209">
        <f t="shared" si="138"/>
        <v>32.258064516129032</v>
      </c>
      <c r="L212" s="209">
        <f t="shared" si="122"/>
        <v>33.333333333333336</v>
      </c>
      <c r="M212" s="209">
        <f t="shared" si="123"/>
        <v>32.258064516129032</v>
      </c>
      <c r="N212" s="209">
        <f t="shared" si="124"/>
        <v>33.333333333333336</v>
      </c>
      <c r="O212" s="209">
        <f t="shared" si="125"/>
        <v>0</v>
      </c>
      <c r="P212" s="212"/>
    </row>
    <row r="213" spans="1:16">
      <c r="A213" s="270"/>
      <c r="B213" s="221">
        <v>5756250297</v>
      </c>
      <c r="C213" s="223" t="s">
        <v>60</v>
      </c>
      <c r="D213" s="209">
        <f t="shared" si="115"/>
        <v>5612.9032258064517</v>
      </c>
      <c r="E213" s="209">
        <f t="shared" si="116"/>
        <v>12821.428571428571</v>
      </c>
      <c r="F213" s="209">
        <f t="shared" si="117"/>
        <v>10096.774193548386</v>
      </c>
      <c r="G213" s="209">
        <f t="shared" si="118"/>
        <v>13666.666666666666</v>
      </c>
      <c r="H213" s="209">
        <f t="shared" si="119"/>
        <v>11322.58064516129</v>
      </c>
      <c r="I213" s="209">
        <f t="shared" si="120"/>
        <v>6766.666666666667</v>
      </c>
      <c r="J213" s="209">
        <f t="shared" ref="J213:K213" si="139">(J187*1000)/31</f>
        <v>11838.709677419354</v>
      </c>
      <c r="K213" s="209">
        <f t="shared" si="139"/>
        <v>14677.41935483871</v>
      </c>
      <c r="L213" s="209">
        <f t="shared" si="122"/>
        <v>21666.666666666668</v>
      </c>
      <c r="M213" s="209">
        <f t="shared" si="123"/>
        <v>16870.967741935485</v>
      </c>
      <c r="N213" s="209">
        <f t="shared" si="124"/>
        <v>13833.333333333334</v>
      </c>
      <c r="O213" s="209">
        <f t="shared" si="125"/>
        <v>9774.1935483870966</v>
      </c>
      <c r="P213" s="212"/>
    </row>
    <row r="214" spans="1:16">
      <c r="A214" s="270"/>
      <c r="B214" s="222">
        <v>1665911804</v>
      </c>
      <c r="C214" s="223" t="s">
        <v>61</v>
      </c>
      <c r="D214" s="209">
        <f t="shared" si="115"/>
        <v>129.03225806451613</v>
      </c>
      <c r="E214" s="209">
        <f t="shared" si="116"/>
        <v>178.57142857142858</v>
      </c>
      <c r="F214" s="209">
        <f t="shared" si="117"/>
        <v>161.29032258064515</v>
      </c>
      <c r="G214" s="209">
        <f t="shared" si="118"/>
        <v>233.33333333333334</v>
      </c>
      <c r="H214" s="209">
        <f t="shared" si="119"/>
        <v>258.06451612903226</v>
      </c>
      <c r="I214" s="209">
        <f t="shared" si="120"/>
        <v>66.666666666666671</v>
      </c>
      <c r="J214" s="209">
        <f t="shared" ref="J214:K214" si="140">(J188*1000)/31</f>
        <v>193.54838709677421</v>
      </c>
      <c r="K214" s="209">
        <f t="shared" si="140"/>
        <v>225.80645161290323</v>
      </c>
      <c r="L214" s="209">
        <f t="shared" si="122"/>
        <v>566.66666666666663</v>
      </c>
      <c r="M214" s="209">
        <f t="shared" si="123"/>
        <v>193.54838709677421</v>
      </c>
      <c r="N214" s="209">
        <f t="shared" si="124"/>
        <v>500</v>
      </c>
      <c r="O214" s="209">
        <f t="shared" si="125"/>
        <v>193.54838709677421</v>
      </c>
      <c r="P214" s="212"/>
    </row>
    <row r="215" spans="1:16">
      <c r="A215" s="270"/>
      <c r="B215" s="222">
        <v>3054467971</v>
      </c>
      <c r="C215" s="223" t="s">
        <v>62</v>
      </c>
      <c r="D215" s="209">
        <f t="shared" si="115"/>
        <v>322.58064516129031</v>
      </c>
      <c r="E215" s="209">
        <f t="shared" si="116"/>
        <v>500</v>
      </c>
      <c r="F215" s="209">
        <f t="shared" si="117"/>
        <v>580.64516129032256</v>
      </c>
      <c r="G215" s="209">
        <f t="shared" si="118"/>
        <v>733.33333333333337</v>
      </c>
      <c r="H215" s="209">
        <f t="shared" si="119"/>
        <v>580.64516129032256</v>
      </c>
      <c r="I215" s="209">
        <f t="shared" si="120"/>
        <v>433.33333333333331</v>
      </c>
      <c r="J215" s="209">
        <f t="shared" ref="J215:K215" si="141">(J189*1000)/31</f>
        <v>1225.8064516129032</v>
      </c>
      <c r="K215" s="209">
        <f t="shared" si="141"/>
        <v>709.67741935483866</v>
      </c>
      <c r="L215" s="209">
        <f t="shared" si="122"/>
        <v>900</v>
      </c>
      <c r="M215" s="209">
        <f t="shared" si="123"/>
        <v>838.70967741935488</v>
      </c>
      <c r="N215" s="209">
        <f t="shared" si="124"/>
        <v>800</v>
      </c>
      <c r="O215" s="209">
        <f t="shared" si="125"/>
        <v>741.93548387096769</v>
      </c>
      <c r="P215" s="212"/>
    </row>
    <row r="216" spans="1:16">
      <c r="A216" s="270"/>
      <c r="B216" s="222">
        <v>3380811569</v>
      </c>
      <c r="C216" s="223" t="s">
        <v>63</v>
      </c>
      <c r="D216" s="209">
        <f t="shared" si="115"/>
        <v>0</v>
      </c>
      <c r="E216" s="209">
        <f t="shared" si="116"/>
        <v>0</v>
      </c>
      <c r="F216" s="209">
        <f t="shared" si="117"/>
        <v>0</v>
      </c>
      <c r="G216" s="209">
        <f t="shared" si="118"/>
        <v>33.333333333333336</v>
      </c>
      <c r="H216" s="209">
        <f t="shared" si="119"/>
        <v>0</v>
      </c>
      <c r="I216" s="209">
        <f t="shared" si="120"/>
        <v>0</v>
      </c>
      <c r="J216" s="209">
        <f t="shared" ref="J216:K216" si="142">(J190*1000)/31</f>
        <v>32.258064516129032</v>
      </c>
      <c r="K216" s="209">
        <f t="shared" si="142"/>
        <v>0</v>
      </c>
      <c r="L216" s="209">
        <f t="shared" si="122"/>
        <v>33.333333333333336</v>
      </c>
      <c r="M216" s="209">
        <f t="shared" si="123"/>
        <v>0</v>
      </c>
      <c r="N216" s="209">
        <f t="shared" si="124"/>
        <v>33.333333333333336</v>
      </c>
      <c r="O216" s="209">
        <f t="shared" si="125"/>
        <v>32.258064516129032</v>
      </c>
      <c r="P216" s="212"/>
    </row>
    <row r="217" spans="1:16">
      <c r="A217" s="212"/>
      <c r="B217" s="212"/>
      <c r="C217" s="212"/>
      <c r="D217" s="253">
        <f>SUM(D198:D216)</f>
        <v>22064.516129032261</v>
      </c>
      <c r="E217" s="331">
        <f t="shared" ref="E217:O217" si="143">SUM(E198:E216)</f>
        <v>46142.857142857145</v>
      </c>
      <c r="F217" s="331">
        <f t="shared" si="143"/>
        <v>38548.38709677419</v>
      </c>
      <c r="G217" s="331">
        <f t="shared" si="143"/>
        <v>50933.333333333343</v>
      </c>
      <c r="H217" s="331">
        <f t="shared" si="143"/>
        <v>55451.612903225803</v>
      </c>
      <c r="I217" s="331">
        <f t="shared" si="143"/>
        <v>33033.333333333336</v>
      </c>
      <c r="J217" s="331">
        <f t="shared" si="143"/>
        <v>50612.903225806447</v>
      </c>
      <c r="K217" s="331">
        <f t="shared" si="143"/>
        <v>50193.54838709678</v>
      </c>
      <c r="L217" s="331">
        <f t="shared" si="143"/>
        <v>79633.333333333343</v>
      </c>
      <c r="M217" s="331">
        <f t="shared" si="143"/>
        <v>55419.354838709689</v>
      </c>
      <c r="N217" s="331">
        <f t="shared" si="143"/>
        <v>46533.333333333336</v>
      </c>
      <c r="O217" s="331">
        <f t="shared" si="143"/>
        <v>40129.032258064515</v>
      </c>
      <c r="P217" s="212"/>
    </row>
    <row r="218" spans="1:16">
      <c r="A218" s="212"/>
      <c r="B218" s="212"/>
      <c r="C218" s="212"/>
      <c r="D218" s="321"/>
      <c r="E218" s="321"/>
      <c r="F218" s="321"/>
      <c r="G218" s="321"/>
      <c r="H218" s="321"/>
      <c r="I218" s="321"/>
      <c r="J218" s="321"/>
      <c r="K218" s="321"/>
      <c r="L218" s="321"/>
      <c r="M218" s="321"/>
      <c r="N218" s="321"/>
      <c r="O218" s="321"/>
      <c r="P218" s="212"/>
    </row>
    <row r="219" spans="1:16">
      <c r="A219" s="242"/>
      <c r="B219" s="242"/>
      <c r="C219" s="242"/>
      <c r="D219" s="242"/>
      <c r="E219" s="241"/>
      <c r="F219" s="241"/>
      <c r="G219" s="241"/>
      <c r="H219" s="241"/>
      <c r="I219" s="241"/>
      <c r="J219" s="241"/>
      <c r="K219" s="241"/>
      <c r="L219" s="241"/>
      <c r="M219" s="241"/>
      <c r="N219" s="241"/>
      <c r="O219" s="241"/>
      <c r="P219" s="242"/>
    </row>
    <row r="220" spans="1:16">
      <c r="A220" s="311" t="s">
        <v>72</v>
      </c>
      <c r="B220" s="302">
        <v>2023</v>
      </c>
      <c r="C220" s="303"/>
      <c r="D220" s="303"/>
      <c r="E220" s="303"/>
      <c r="F220" s="303"/>
      <c r="G220" s="303"/>
      <c r="H220" s="303"/>
      <c r="I220" s="303"/>
      <c r="J220" s="303"/>
      <c r="K220" s="303"/>
      <c r="L220" s="303"/>
      <c r="M220" s="303"/>
      <c r="N220" s="303"/>
      <c r="O220" s="303"/>
      <c r="P220" s="303"/>
    </row>
    <row r="221" spans="1:16" ht="15.75" thickBot="1">
      <c r="A221" s="304" t="s">
        <v>30</v>
      </c>
      <c r="B221" s="305" t="s">
        <v>31</v>
      </c>
      <c r="C221" s="305" t="s">
        <v>32</v>
      </c>
      <c r="D221" s="305" t="s">
        <v>33</v>
      </c>
      <c r="E221" s="305" t="s">
        <v>34</v>
      </c>
      <c r="F221" s="305" t="s">
        <v>35</v>
      </c>
      <c r="G221" s="305" t="s">
        <v>36</v>
      </c>
      <c r="H221" s="305" t="s">
        <v>37</v>
      </c>
      <c r="I221" s="305" t="s">
        <v>38</v>
      </c>
      <c r="J221" s="305" t="s">
        <v>39</v>
      </c>
      <c r="K221" s="305" t="s">
        <v>40</v>
      </c>
      <c r="L221" s="305" t="s">
        <v>41</v>
      </c>
      <c r="M221" s="305" t="s">
        <v>42</v>
      </c>
      <c r="N221" s="305" t="s">
        <v>43</v>
      </c>
      <c r="O221" s="305" t="s">
        <v>44</v>
      </c>
      <c r="P221" s="306" t="s">
        <v>100</v>
      </c>
    </row>
    <row r="222" spans="1:16">
      <c r="A222" s="301"/>
      <c r="B222" s="307">
        <v>7534810685</v>
      </c>
      <c r="C222" s="314" t="s">
        <v>45</v>
      </c>
      <c r="D222" s="310">
        <v>12</v>
      </c>
      <c r="E222" s="310">
        <v>13</v>
      </c>
      <c r="F222" s="310">
        <v>16</v>
      </c>
      <c r="G222" s="310">
        <v>14</v>
      </c>
      <c r="H222" s="310">
        <v>16</v>
      </c>
      <c r="I222" s="310">
        <v>13</v>
      </c>
      <c r="J222" s="310">
        <v>14</v>
      </c>
      <c r="K222" s="310">
        <v>13</v>
      </c>
      <c r="L222" s="310">
        <v>18</v>
      </c>
      <c r="M222" s="310">
        <v>16</v>
      </c>
      <c r="N222" s="310">
        <v>14</v>
      </c>
      <c r="O222" s="310">
        <v>16</v>
      </c>
      <c r="P222" s="313">
        <f>SUM(D222:O222)</f>
        <v>175</v>
      </c>
    </row>
    <row r="223" spans="1:16">
      <c r="A223" s="301"/>
      <c r="B223" s="307">
        <v>4366050935</v>
      </c>
      <c r="C223" s="314" t="s">
        <v>46</v>
      </c>
      <c r="D223" s="310">
        <v>12</v>
      </c>
      <c r="E223" s="310">
        <v>42</v>
      </c>
      <c r="F223" s="310">
        <v>48</v>
      </c>
      <c r="G223" s="310">
        <v>38</v>
      </c>
      <c r="H223" s="310">
        <v>23</v>
      </c>
      <c r="I223" s="310">
        <v>1</v>
      </c>
      <c r="J223" s="310">
        <v>0</v>
      </c>
      <c r="K223" s="310">
        <v>1</v>
      </c>
      <c r="L223" s="310">
        <v>27</v>
      </c>
      <c r="M223" s="310">
        <v>27</v>
      </c>
      <c r="N223" s="310">
        <v>22</v>
      </c>
      <c r="O223" s="310">
        <v>34</v>
      </c>
      <c r="P223" s="340">
        <f t="shared" ref="P223:P240" si="144">SUM(D223:O223)</f>
        <v>275</v>
      </c>
    </row>
    <row r="224" spans="1:16">
      <c r="A224" s="301"/>
      <c r="B224" s="307">
        <v>6366050937</v>
      </c>
      <c r="C224" s="314" t="s">
        <v>47</v>
      </c>
      <c r="D224" s="310">
        <v>3</v>
      </c>
      <c r="E224" s="310">
        <v>20</v>
      </c>
      <c r="F224" s="310">
        <v>21</v>
      </c>
      <c r="G224" s="310">
        <v>19</v>
      </c>
      <c r="H224" s="310">
        <v>13</v>
      </c>
      <c r="I224" s="310">
        <v>12</v>
      </c>
      <c r="J224" s="310">
        <v>16</v>
      </c>
      <c r="K224" s="310">
        <v>11</v>
      </c>
      <c r="L224" s="310">
        <v>17</v>
      </c>
      <c r="M224" s="310">
        <v>18</v>
      </c>
      <c r="N224" s="310">
        <v>19</v>
      </c>
      <c r="O224" s="310">
        <v>20</v>
      </c>
      <c r="P224" s="340">
        <f t="shared" si="144"/>
        <v>189</v>
      </c>
    </row>
    <row r="225" spans="1:16">
      <c r="A225" s="301"/>
      <c r="B225" s="307">
        <v>7366050938</v>
      </c>
      <c r="C225" s="314" t="s">
        <v>48</v>
      </c>
      <c r="D225" s="310">
        <v>65</v>
      </c>
      <c r="E225" s="310">
        <v>53</v>
      </c>
      <c r="F225" s="310">
        <v>53</v>
      </c>
      <c r="G225" s="310">
        <v>47</v>
      </c>
      <c r="H225" s="310">
        <v>41</v>
      </c>
      <c r="I225" s="310">
        <v>27</v>
      </c>
      <c r="J225" s="310">
        <v>33</v>
      </c>
      <c r="K225" s="310">
        <v>31</v>
      </c>
      <c r="L225" s="310">
        <v>38</v>
      </c>
      <c r="M225" s="310">
        <v>56</v>
      </c>
      <c r="N225" s="310">
        <v>48</v>
      </c>
      <c r="O225" s="310">
        <v>33</v>
      </c>
      <c r="P225" s="340">
        <f t="shared" si="144"/>
        <v>525</v>
      </c>
    </row>
    <row r="226" spans="1:16">
      <c r="A226" s="301"/>
      <c r="B226" s="307">
        <v>3366050934</v>
      </c>
      <c r="C226" s="314" t="s">
        <v>49</v>
      </c>
      <c r="D226" s="310">
        <v>95</v>
      </c>
      <c r="E226" s="310">
        <v>235</v>
      </c>
      <c r="F226" s="310">
        <v>289</v>
      </c>
      <c r="G226" s="310">
        <v>335</v>
      </c>
      <c r="H226" s="310">
        <v>313</v>
      </c>
      <c r="I226" s="310">
        <v>128</v>
      </c>
      <c r="J226" s="310">
        <v>33</v>
      </c>
      <c r="K226" s="310">
        <v>24</v>
      </c>
      <c r="L226" s="310">
        <v>80</v>
      </c>
      <c r="M226" s="310">
        <v>81</v>
      </c>
      <c r="N226" s="310">
        <v>86</v>
      </c>
      <c r="O226" s="310">
        <v>86</v>
      </c>
      <c r="P226" s="340">
        <f t="shared" si="144"/>
        <v>1785</v>
      </c>
    </row>
    <row r="227" spans="1:16">
      <c r="A227" s="301"/>
      <c r="B227" s="307">
        <v>5581150299</v>
      </c>
      <c r="C227" s="314" t="s">
        <v>50</v>
      </c>
      <c r="D227" s="310">
        <v>29</v>
      </c>
      <c r="E227" s="310">
        <v>136</v>
      </c>
      <c r="F227" s="310">
        <v>120</v>
      </c>
      <c r="G227" s="310">
        <v>137</v>
      </c>
      <c r="H227" s="310">
        <v>81</v>
      </c>
      <c r="I227" s="310">
        <v>10</v>
      </c>
      <c r="J227" s="310">
        <v>9</v>
      </c>
      <c r="K227" s="310">
        <v>20</v>
      </c>
      <c r="L227" s="310">
        <v>126</v>
      </c>
      <c r="M227" s="310">
        <v>138</v>
      </c>
      <c r="N227" s="310">
        <v>138</v>
      </c>
      <c r="O227" s="310">
        <v>121</v>
      </c>
      <c r="P227" s="340">
        <f t="shared" si="144"/>
        <v>1065</v>
      </c>
    </row>
    <row r="228" spans="1:16">
      <c r="A228" s="301"/>
      <c r="B228" s="307">
        <v>5366050936</v>
      </c>
      <c r="C228" s="314" t="s">
        <v>51</v>
      </c>
      <c r="D228" s="310">
        <v>102</v>
      </c>
      <c r="E228" s="310">
        <v>216</v>
      </c>
      <c r="F228" s="310">
        <v>25</v>
      </c>
      <c r="G228" s="310">
        <v>21</v>
      </c>
      <c r="H228" s="310">
        <v>22</v>
      </c>
      <c r="I228" s="310">
        <v>15</v>
      </c>
      <c r="J228" s="310">
        <v>26</v>
      </c>
      <c r="K228" s="310">
        <v>15</v>
      </c>
      <c r="L228" s="310">
        <v>36</v>
      </c>
      <c r="M228" s="310">
        <v>41</v>
      </c>
      <c r="N228" s="310">
        <v>39</v>
      </c>
      <c r="O228" s="310">
        <v>33</v>
      </c>
      <c r="P228" s="340">
        <f t="shared" si="144"/>
        <v>591</v>
      </c>
    </row>
    <row r="229" spans="1:16">
      <c r="A229" s="301"/>
      <c r="B229" s="307">
        <v>2052150585</v>
      </c>
      <c r="C229" s="314" t="s">
        <v>52</v>
      </c>
      <c r="D229" s="310">
        <v>45</v>
      </c>
      <c r="E229" s="310">
        <v>171</v>
      </c>
      <c r="F229" s="310">
        <v>221</v>
      </c>
      <c r="G229" s="310">
        <v>271</v>
      </c>
      <c r="H229" s="310">
        <v>278</v>
      </c>
      <c r="I229" s="310">
        <v>116</v>
      </c>
      <c r="J229" s="310">
        <v>194</v>
      </c>
      <c r="K229" s="310">
        <v>361</v>
      </c>
      <c r="L229" s="310">
        <v>478</v>
      </c>
      <c r="M229" s="310">
        <v>514</v>
      </c>
      <c r="N229" s="310">
        <v>302</v>
      </c>
      <c r="O229" s="310">
        <v>267</v>
      </c>
      <c r="P229" s="340">
        <f t="shared" si="144"/>
        <v>3218</v>
      </c>
    </row>
    <row r="230" spans="1:16">
      <c r="A230" s="301"/>
      <c r="B230" s="307">
        <v>8635150066</v>
      </c>
      <c r="C230" s="314" t="s">
        <v>53</v>
      </c>
      <c r="D230" s="310">
        <v>1</v>
      </c>
      <c r="E230" s="310">
        <v>11</v>
      </c>
      <c r="F230" s="310">
        <v>6</v>
      </c>
      <c r="G230" s="310">
        <v>9</v>
      </c>
      <c r="H230" s="310">
        <v>10</v>
      </c>
      <c r="I230" s="310">
        <v>8</v>
      </c>
      <c r="J230" s="310">
        <v>3</v>
      </c>
      <c r="K230" s="310">
        <v>4</v>
      </c>
      <c r="L230" s="310">
        <v>29</v>
      </c>
      <c r="M230" s="310">
        <v>20</v>
      </c>
      <c r="N230" s="310">
        <v>3</v>
      </c>
      <c r="O230" s="310">
        <v>3</v>
      </c>
      <c r="P230" s="340">
        <f t="shared" si="144"/>
        <v>107</v>
      </c>
    </row>
    <row r="231" spans="1:16">
      <c r="A231" s="301"/>
      <c r="B231" s="308">
        <v>6663150208</v>
      </c>
      <c r="C231" s="314" t="s">
        <v>54</v>
      </c>
      <c r="D231" s="310">
        <v>26</v>
      </c>
      <c r="E231" s="310">
        <v>20</v>
      </c>
      <c r="F231" s="310">
        <v>22</v>
      </c>
      <c r="G231" s="310">
        <v>21</v>
      </c>
      <c r="H231" s="310">
        <v>18</v>
      </c>
      <c r="I231" s="310">
        <v>10</v>
      </c>
      <c r="J231" s="310">
        <v>9</v>
      </c>
      <c r="K231" s="310">
        <v>17</v>
      </c>
      <c r="L231" s="310">
        <v>21</v>
      </c>
      <c r="M231" s="310">
        <v>36</v>
      </c>
      <c r="N231" s="310">
        <v>23</v>
      </c>
      <c r="O231" s="310">
        <v>21</v>
      </c>
      <c r="P231" s="340">
        <f t="shared" si="144"/>
        <v>244</v>
      </c>
    </row>
    <row r="232" spans="1:16">
      <c r="A232" s="301"/>
      <c r="B232" s="307">
        <v>6068150813</v>
      </c>
      <c r="C232" s="314" t="s">
        <v>55</v>
      </c>
      <c r="D232" s="310">
        <v>6</v>
      </c>
      <c r="E232" s="310">
        <v>24</v>
      </c>
      <c r="F232" s="310">
        <v>20</v>
      </c>
      <c r="G232" s="310">
        <v>32</v>
      </c>
      <c r="H232" s="310">
        <v>104</v>
      </c>
      <c r="I232" s="310">
        <v>72</v>
      </c>
      <c r="J232" s="310">
        <v>112</v>
      </c>
      <c r="K232" s="310">
        <v>220</v>
      </c>
      <c r="L232" s="310">
        <v>224</v>
      </c>
      <c r="M232" s="310">
        <v>196</v>
      </c>
      <c r="N232" s="310">
        <v>27</v>
      </c>
      <c r="O232" s="310">
        <v>19</v>
      </c>
      <c r="P232" s="340">
        <f t="shared" si="144"/>
        <v>1056</v>
      </c>
    </row>
    <row r="233" spans="1:16">
      <c r="A233" s="301"/>
      <c r="B233" s="308">
        <v>5068150812</v>
      </c>
      <c r="C233" s="314" t="s">
        <v>56</v>
      </c>
      <c r="D233" s="310">
        <v>7</v>
      </c>
      <c r="E233" s="310">
        <v>18</v>
      </c>
      <c r="F233" s="310">
        <v>10</v>
      </c>
      <c r="G233" s="310">
        <v>11</v>
      </c>
      <c r="H233" s="310">
        <v>8</v>
      </c>
      <c r="I233" s="310">
        <v>6</v>
      </c>
      <c r="J233" s="310">
        <v>2</v>
      </c>
      <c r="K233" s="310">
        <v>7</v>
      </c>
      <c r="L233" s="310">
        <v>10</v>
      </c>
      <c r="M233" s="310">
        <v>11</v>
      </c>
      <c r="N233" s="310">
        <v>11</v>
      </c>
      <c r="O233" s="310">
        <v>11</v>
      </c>
      <c r="P233" s="340">
        <f t="shared" si="144"/>
        <v>112</v>
      </c>
    </row>
    <row r="234" spans="1:16">
      <c r="A234" s="301"/>
      <c r="B234" s="308">
        <v>2364150700</v>
      </c>
      <c r="C234" s="314" t="s">
        <v>57</v>
      </c>
      <c r="D234" s="310">
        <v>30</v>
      </c>
      <c r="E234" s="310">
        <v>50</v>
      </c>
      <c r="F234" s="310">
        <v>58</v>
      </c>
      <c r="G234" s="310">
        <v>45</v>
      </c>
      <c r="H234" s="310">
        <v>51</v>
      </c>
      <c r="I234" s="310">
        <v>39</v>
      </c>
      <c r="J234" s="310">
        <v>51</v>
      </c>
      <c r="K234" s="310">
        <v>53</v>
      </c>
      <c r="L234" s="310">
        <v>77</v>
      </c>
      <c r="M234" s="310">
        <v>58</v>
      </c>
      <c r="N234" s="310">
        <v>60</v>
      </c>
      <c r="O234" s="310">
        <v>40</v>
      </c>
      <c r="P234" s="340">
        <f t="shared" si="144"/>
        <v>612</v>
      </c>
    </row>
    <row r="235" spans="1:16">
      <c r="A235" s="301"/>
      <c r="B235" s="308">
        <v>1364150699</v>
      </c>
      <c r="C235" s="314" t="s">
        <v>58</v>
      </c>
      <c r="D235" s="310">
        <v>13</v>
      </c>
      <c r="E235" s="310">
        <v>96</v>
      </c>
      <c r="F235" s="310">
        <v>49</v>
      </c>
      <c r="G235" s="310">
        <v>49</v>
      </c>
      <c r="H235" s="310">
        <v>29</v>
      </c>
      <c r="I235" s="310">
        <v>6</v>
      </c>
      <c r="J235" s="310">
        <v>44</v>
      </c>
      <c r="K235" s="310">
        <v>107</v>
      </c>
      <c r="L235" s="310">
        <v>149</v>
      </c>
      <c r="M235" s="310">
        <v>142</v>
      </c>
      <c r="N235" s="310">
        <v>86</v>
      </c>
      <c r="O235" s="310">
        <v>65</v>
      </c>
      <c r="P235" s="340">
        <f t="shared" si="144"/>
        <v>835</v>
      </c>
    </row>
    <row r="236" spans="1:16">
      <c r="A236" s="301"/>
      <c r="B236" s="307">
        <v>2068150809</v>
      </c>
      <c r="C236" s="314" t="s">
        <v>59</v>
      </c>
      <c r="D236" s="310">
        <v>1</v>
      </c>
      <c r="E236" s="310">
        <v>1</v>
      </c>
      <c r="F236" s="310">
        <v>7</v>
      </c>
      <c r="G236" s="310">
        <v>2</v>
      </c>
      <c r="H236" s="310">
        <v>2</v>
      </c>
      <c r="I236" s="310">
        <v>0</v>
      </c>
      <c r="J236" s="310">
        <v>1</v>
      </c>
      <c r="K236" s="310">
        <v>1</v>
      </c>
      <c r="L236" s="310">
        <v>2</v>
      </c>
      <c r="M236" s="310">
        <v>1</v>
      </c>
      <c r="N236" s="310">
        <v>1</v>
      </c>
      <c r="O236" s="310">
        <v>2</v>
      </c>
      <c r="P236" s="340">
        <f t="shared" si="144"/>
        <v>21</v>
      </c>
    </row>
    <row r="237" spans="1:16">
      <c r="A237" s="301"/>
      <c r="B237" s="307">
        <v>5756250297</v>
      </c>
      <c r="C237" s="314" t="s">
        <v>60</v>
      </c>
      <c r="D237" s="308">
        <v>165</v>
      </c>
      <c r="E237" s="308">
        <v>323</v>
      </c>
      <c r="F237" s="308">
        <v>328</v>
      </c>
      <c r="G237" s="308">
        <v>451</v>
      </c>
      <c r="H237" s="308">
        <v>421</v>
      </c>
      <c r="I237" s="308">
        <v>321</v>
      </c>
      <c r="J237" s="308">
        <v>360</v>
      </c>
      <c r="K237" s="308">
        <v>534</v>
      </c>
      <c r="L237" s="308">
        <v>682</v>
      </c>
      <c r="M237" s="308">
        <v>498</v>
      </c>
      <c r="N237" s="308">
        <v>373</v>
      </c>
      <c r="O237" s="308">
        <v>313</v>
      </c>
      <c r="P237" s="340">
        <f t="shared" si="144"/>
        <v>4769</v>
      </c>
    </row>
    <row r="238" spans="1:16">
      <c r="A238" s="301"/>
      <c r="B238" s="308">
        <v>1665911804</v>
      </c>
      <c r="C238" s="314" t="s">
        <v>61</v>
      </c>
      <c r="D238" s="310">
        <v>7</v>
      </c>
      <c r="E238" s="310">
        <v>17</v>
      </c>
      <c r="F238" s="310">
        <v>14</v>
      </c>
      <c r="G238" s="310">
        <v>16</v>
      </c>
      <c r="H238" s="310">
        <v>10</v>
      </c>
      <c r="I238" s="310">
        <v>8</v>
      </c>
      <c r="J238" s="310">
        <v>17</v>
      </c>
      <c r="K238" s="310">
        <v>23</v>
      </c>
      <c r="L238" s="310">
        <v>3</v>
      </c>
      <c r="M238" s="310">
        <v>4</v>
      </c>
      <c r="N238" s="310">
        <v>3</v>
      </c>
      <c r="O238" s="310">
        <v>4</v>
      </c>
      <c r="P238" s="340">
        <f t="shared" si="144"/>
        <v>126</v>
      </c>
    </row>
    <row r="239" spans="1:16">
      <c r="A239" s="301"/>
      <c r="B239" s="308">
        <v>3054467971</v>
      </c>
      <c r="C239" s="314" t="s">
        <v>62</v>
      </c>
      <c r="D239" s="310">
        <v>15</v>
      </c>
      <c r="E239" s="310">
        <v>27</v>
      </c>
      <c r="F239" s="310">
        <v>28</v>
      </c>
      <c r="G239" s="310">
        <v>29</v>
      </c>
      <c r="H239" s="310">
        <v>29</v>
      </c>
      <c r="I239" s="310">
        <v>22</v>
      </c>
      <c r="J239" s="310">
        <v>27</v>
      </c>
      <c r="K239" s="310">
        <v>25</v>
      </c>
      <c r="L239" s="310">
        <v>36</v>
      </c>
      <c r="M239" s="310">
        <v>34</v>
      </c>
      <c r="N239" s="310">
        <v>30</v>
      </c>
      <c r="O239" s="310">
        <v>30</v>
      </c>
      <c r="P239" s="340">
        <f t="shared" si="144"/>
        <v>332</v>
      </c>
    </row>
    <row r="240" spans="1:16">
      <c r="A240" s="301"/>
      <c r="B240" s="308">
        <v>3380811569</v>
      </c>
      <c r="C240" s="314" t="s">
        <v>63</v>
      </c>
      <c r="D240" s="310">
        <v>0</v>
      </c>
      <c r="E240" s="310">
        <v>1</v>
      </c>
      <c r="F240" s="310">
        <v>1</v>
      </c>
      <c r="G240" s="310">
        <v>0</v>
      </c>
      <c r="H240" s="310">
        <v>1</v>
      </c>
      <c r="I240" s="310">
        <v>0</v>
      </c>
      <c r="J240" s="310">
        <v>1</v>
      </c>
      <c r="K240" s="310">
        <v>0</v>
      </c>
      <c r="L240" s="310">
        <v>1</v>
      </c>
      <c r="M240" s="310">
        <v>2</v>
      </c>
      <c r="N240" s="310">
        <v>1</v>
      </c>
      <c r="O240" s="310">
        <v>1</v>
      </c>
      <c r="P240" s="340">
        <f t="shared" si="144"/>
        <v>9</v>
      </c>
    </row>
    <row r="241" spans="1:16">
      <c r="A241" s="301"/>
      <c r="B241" s="303"/>
      <c r="C241" s="303"/>
      <c r="D241" s="312">
        <f>SUM(D222:D240)</f>
        <v>634</v>
      </c>
      <c r="E241" s="339">
        <f t="shared" ref="E241:P241" si="145">SUM(E222:E240)</f>
        <v>1474</v>
      </c>
      <c r="F241" s="339">
        <f t="shared" si="145"/>
        <v>1336</v>
      </c>
      <c r="G241" s="339">
        <f t="shared" si="145"/>
        <v>1547</v>
      </c>
      <c r="H241" s="339">
        <f t="shared" si="145"/>
        <v>1470</v>
      </c>
      <c r="I241" s="339">
        <f t="shared" si="145"/>
        <v>814</v>
      </c>
      <c r="J241" s="339">
        <f t="shared" si="145"/>
        <v>952</v>
      </c>
      <c r="K241" s="339">
        <f t="shared" si="145"/>
        <v>1467</v>
      </c>
      <c r="L241" s="339">
        <f t="shared" si="145"/>
        <v>2054</v>
      </c>
      <c r="M241" s="339">
        <f t="shared" si="145"/>
        <v>1893</v>
      </c>
      <c r="N241" s="339">
        <f t="shared" si="145"/>
        <v>1286</v>
      </c>
      <c r="O241" s="339">
        <f t="shared" si="145"/>
        <v>1119</v>
      </c>
      <c r="P241" s="339">
        <f t="shared" si="145"/>
        <v>16046</v>
      </c>
    </row>
    <row r="242" spans="1:16">
      <c r="A242" s="301"/>
      <c r="B242" s="303"/>
      <c r="C242" s="303"/>
      <c r="D242" s="303"/>
      <c r="E242" s="303"/>
      <c r="F242" s="303"/>
      <c r="G242" s="303"/>
      <c r="H242" s="303"/>
      <c r="I242" s="303"/>
      <c r="J242" s="303"/>
      <c r="K242" s="303"/>
      <c r="L242" s="303"/>
      <c r="M242" s="303"/>
      <c r="N242" s="303"/>
      <c r="O242" s="303"/>
      <c r="P242" s="303"/>
    </row>
    <row r="243" spans="1:16">
      <c r="A243" s="301"/>
      <c r="B243" s="303"/>
      <c r="C243" s="309" t="s">
        <v>64</v>
      </c>
      <c r="D243" s="333">
        <f>D241*1000</f>
        <v>634000</v>
      </c>
      <c r="E243" s="333">
        <f t="shared" ref="E243:P243" si="146">E241*1000</f>
        <v>1474000</v>
      </c>
      <c r="F243" s="333">
        <f t="shared" si="146"/>
        <v>1336000</v>
      </c>
      <c r="G243" s="333">
        <f t="shared" si="146"/>
        <v>1547000</v>
      </c>
      <c r="H243" s="333">
        <f t="shared" si="146"/>
        <v>1470000</v>
      </c>
      <c r="I243" s="333">
        <f t="shared" si="146"/>
        <v>814000</v>
      </c>
      <c r="J243" s="333">
        <f t="shared" si="146"/>
        <v>952000</v>
      </c>
      <c r="K243" s="333">
        <f t="shared" si="146"/>
        <v>1467000</v>
      </c>
      <c r="L243" s="333">
        <f t="shared" si="146"/>
        <v>2054000</v>
      </c>
      <c r="M243" s="333">
        <f t="shared" si="146"/>
        <v>1893000</v>
      </c>
      <c r="N243" s="333">
        <f t="shared" si="146"/>
        <v>1286000</v>
      </c>
      <c r="O243" s="333">
        <f t="shared" si="146"/>
        <v>1119000</v>
      </c>
      <c r="P243" s="333">
        <f t="shared" si="146"/>
        <v>16046000</v>
      </c>
    </row>
    <row r="244" spans="1:16">
      <c r="A244" s="212"/>
      <c r="B244" s="212"/>
      <c r="C244" s="212"/>
      <c r="D244" s="212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2"/>
    </row>
    <row r="245" spans="1:16">
      <c r="A245" s="212"/>
      <c r="B245" s="212"/>
      <c r="C245" s="212"/>
      <c r="D245" s="212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2"/>
    </row>
    <row r="246" spans="1:16">
      <c r="A246" s="255" t="s">
        <v>73</v>
      </c>
      <c r="B246" s="300"/>
      <c r="C246" s="300"/>
      <c r="D246" s="300"/>
      <c r="E246" s="300"/>
      <c r="F246" s="300"/>
      <c r="G246" s="300"/>
      <c r="H246" s="300"/>
      <c r="I246" s="300"/>
      <c r="J246" s="300"/>
      <c r="K246" s="300"/>
      <c r="L246" s="300"/>
      <c r="M246" s="300"/>
      <c r="N246" s="300"/>
      <c r="O246" s="300"/>
      <c r="P246" s="300"/>
    </row>
    <row r="247" spans="1:16" ht="15.75" thickBot="1">
      <c r="A247" s="254" t="s">
        <v>30</v>
      </c>
      <c r="B247" s="215" t="s">
        <v>31</v>
      </c>
      <c r="C247" s="216" t="s">
        <v>32</v>
      </c>
      <c r="D247" s="217" t="s">
        <v>33</v>
      </c>
      <c r="E247" s="218" t="s">
        <v>34</v>
      </c>
      <c r="F247" s="219" t="s">
        <v>35</v>
      </c>
      <c r="G247" s="219" t="s">
        <v>36</v>
      </c>
      <c r="H247" s="219" t="s">
        <v>37</v>
      </c>
      <c r="I247" s="219" t="s">
        <v>38</v>
      </c>
      <c r="J247" s="219" t="s">
        <v>39</v>
      </c>
      <c r="K247" s="219" t="s">
        <v>40</v>
      </c>
      <c r="L247" s="219" t="s">
        <v>41</v>
      </c>
      <c r="M247" s="219" t="s">
        <v>42</v>
      </c>
      <c r="N247" s="219" t="s">
        <v>43</v>
      </c>
      <c r="O247" s="219" t="s">
        <v>44</v>
      </c>
      <c r="P247" s="300"/>
    </row>
    <row r="248" spans="1:16">
      <c r="A248" s="270"/>
      <c r="B248" s="220">
        <v>7534810685</v>
      </c>
      <c r="C248" s="223" t="s">
        <v>45</v>
      </c>
      <c r="D248" s="209">
        <f>(D222*1000)/31</f>
        <v>387.09677419354841</v>
      </c>
      <c r="E248" s="209">
        <f>(E222*1000)/28</f>
        <v>464.28571428571428</v>
      </c>
      <c r="F248" s="209">
        <f>(F222*1000)/31</f>
        <v>516.12903225806451</v>
      </c>
      <c r="G248" s="209">
        <f>(G222*1000)/30</f>
        <v>466.66666666666669</v>
      </c>
      <c r="H248" s="209">
        <f>(H222*1000)/31</f>
        <v>516.12903225806451</v>
      </c>
      <c r="I248" s="209">
        <f>(I222*1000)/30</f>
        <v>433.33333333333331</v>
      </c>
      <c r="J248" s="209">
        <f>(J222*1000)/31</f>
        <v>451.61290322580646</v>
      </c>
      <c r="K248" s="209">
        <f>(K222*1000)/31</f>
        <v>419.35483870967744</v>
      </c>
      <c r="L248" s="209">
        <f>(L222*1000)/30</f>
        <v>600</v>
      </c>
      <c r="M248" s="209">
        <f>(M222*1000)/31</f>
        <v>516.12903225806451</v>
      </c>
      <c r="N248" s="209">
        <f>(N222*1000)/30</f>
        <v>466.66666666666669</v>
      </c>
      <c r="O248" s="209">
        <f>(O222*1000)/31</f>
        <v>516.12903225806451</v>
      </c>
      <c r="P248" s="300"/>
    </row>
    <row r="249" spans="1:16">
      <c r="A249" s="270"/>
      <c r="B249" s="220">
        <v>4366050935</v>
      </c>
      <c r="C249" s="223" t="s">
        <v>46</v>
      </c>
      <c r="D249" s="209">
        <f t="shared" ref="D249:D266" si="147">(D223*1000)/31</f>
        <v>387.09677419354841</v>
      </c>
      <c r="E249" s="209">
        <f t="shared" ref="E249:E266" si="148">(E223*1000)/28</f>
        <v>1500</v>
      </c>
      <c r="F249" s="209">
        <f t="shared" ref="F249:F266" si="149">(F223*1000)/31</f>
        <v>1548.3870967741937</v>
      </c>
      <c r="G249" s="209">
        <f t="shared" ref="G249:G266" si="150">(G223*1000)/30</f>
        <v>1266.6666666666667</v>
      </c>
      <c r="H249" s="209">
        <f t="shared" ref="H249:H266" si="151">(H223*1000)/31</f>
        <v>741.93548387096769</v>
      </c>
      <c r="I249" s="209">
        <f t="shared" ref="I249:I266" si="152">(I223*1000)/30</f>
        <v>33.333333333333336</v>
      </c>
      <c r="J249" s="209">
        <f t="shared" ref="J249:K249" si="153">(J223*1000)/31</f>
        <v>0</v>
      </c>
      <c r="K249" s="209">
        <f t="shared" si="153"/>
        <v>32.258064516129032</v>
      </c>
      <c r="L249" s="209">
        <f t="shared" ref="L249:L266" si="154">(L223*1000)/30</f>
        <v>900</v>
      </c>
      <c r="M249" s="209">
        <f t="shared" ref="M249:M266" si="155">(M223*1000)/31</f>
        <v>870.9677419354839</v>
      </c>
      <c r="N249" s="209">
        <f t="shared" ref="N249:N266" si="156">(N223*1000)/30</f>
        <v>733.33333333333337</v>
      </c>
      <c r="O249" s="209">
        <f t="shared" ref="O249:O266" si="157">(O223*1000)/31</f>
        <v>1096.7741935483871</v>
      </c>
      <c r="P249" s="300"/>
    </row>
    <row r="250" spans="1:16">
      <c r="A250" s="270"/>
      <c r="B250" s="220">
        <v>6366050937</v>
      </c>
      <c r="C250" s="223" t="s">
        <v>47</v>
      </c>
      <c r="D250" s="209">
        <f t="shared" si="147"/>
        <v>96.774193548387103</v>
      </c>
      <c r="E250" s="209">
        <f t="shared" si="148"/>
        <v>714.28571428571433</v>
      </c>
      <c r="F250" s="209">
        <f t="shared" si="149"/>
        <v>677.41935483870964</v>
      </c>
      <c r="G250" s="209">
        <f t="shared" si="150"/>
        <v>633.33333333333337</v>
      </c>
      <c r="H250" s="209">
        <f t="shared" si="151"/>
        <v>419.35483870967744</v>
      </c>
      <c r="I250" s="209">
        <f t="shared" si="152"/>
        <v>400</v>
      </c>
      <c r="J250" s="209">
        <f t="shared" ref="J250:K250" si="158">(J224*1000)/31</f>
        <v>516.12903225806451</v>
      </c>
      <c r="K250" s="209">
        <f t="shared" si="158"/>
        <v>354.83870967741933</v>
      </c>
      <c r="L250" s="209">
        <f t="shared" si="154"/>
        <v>566.66666666666663</v>
      </c>
      <c r="M250" s="209">
        <f t="shared" si="155"/>
        <v>580.64516129032256</v>
      </c>
      <c r="N250" s="209">
        <f t="shared" si="156"/>
        <v>633.33333333333337</v>
      </c>
      <c r="O250" s="209">
        <f t="shared" si="157"/>
        <v>645.16129032258061</v>
      </c>
      <c r="P250" s="300"/>
    </row>
    <row r="251" spans="1:16">
      <c r="A251" s="270"/>
      <c r="B251" s="220">
        <v>7366050938</v>
      </c>
      <c r="C251" s="223" t="s">
        <v>48</v>
      </c>
      <c r="D251" s="209">
        <f t="shared" si="147"/>
        <v>2096.7741935483873</v>
      </c>
      <c r="E251" s="209">
        <f t="shared" si="148"/>
        <v>1892.8571428571429</v>
      </c>
      <c r="F251" s="209">
        <f t="shared" si="149"/>
        <v>1709.6774193548388</v>
      </c>
      <c r="G251" s="209">
        <f t="shared" si="150"/>
        <v>1566.6666666666667</v>
      </c>
      <c r="H251" s="209">
        <f t="shared" si="151"/>
        <v>1322.5806451612902</v>
      </c>
      <c r="I251" s="209">
        <f t="shared" si="152"/>
        <v>900</v>
      </c>
      <c r="J251" s="209">
        <f t="shared" ref="J251:K251" si="159">(J225*1000)/31</f>
        <v>1064.516129032258</v>
      </c>
      <c r="K251" s="209">
        <f t="shared" si="159"/>
        <v>1000</v>
      </c>
      <c r="L251" s="209">
        <f t="shared" si="154"/>
        <v>1266.6666666666667</v>
      </c>
      <c r="M251" s="209">
        <f t="shared" si="155"/>
        <v>1806.4516129032259</v>
      </c>
      <c r="N251" s="209">
        <f t="shared" si="156"/>
        <v>1600</v>
      </c>
      <c r="O251" s="209">
        <f t="shared" si="157"/>
        <v>1064.516129032258</v>
      </c>
      <c r="P251" s="300"/>
    </row>
    <row r="252" spans="1:16">
      <c r="A252" s="270"/>
      <c r="B252" s="220">
        <v>3366050934</v>
      </c>
      <c r="C252" s="223" t="s">
        <v>49</v>
      </c>
      <c r="D252" s="209">
        <f t="shared" si="147"/>
        <v>3064.516129032258</v>
      </c>
      <c r="E252" s="209">
        <f t="shared" si="148"/>
        <v>8392.8571428571431</v>
      </c>
      <c r="F252" s="209">
        <f t="shared" si="149"/>
        <v>9322.5806451612898</v>
      </c>
      <c r="G252" s="209">
        <f t="shared" si="150"/>
        <v>11166.666666666666</v>
      </c>
      <c r="H252" s="209">
        <f t="shared" si="151"/>
        <v>10096.774193548386</v>
      </c>
      <c r="I252" s="209">
        <f t="shared" si="152"/>
        <v>4266.666666666667</v>
      </c>
      <c r="J252" s="209">
        <f t="shared" ref="J252:K252" si="160">(J226*1000)/31</f>
        <v>1064.516129032258</v>
      </c>
      <c r="K252" s="209">
        <f t="shared" si="160"/>
        <v>774.19354838709683</v>
      </c>
      <c r="L252" s="209">
        <f t="shared" si="154"/>
        <v>2666.6666666666665</v>
      </c>
      <c r="M252" s="209">
        <f t="shared" si="155"/>
        <v>2612.9032258064517</v>
      </c>
      <c r="N252" s="209">
        <f t="shared" si="156"/>
        <v>2866.6666666666665</v>
      </c>
      <c r="O252" s="209">
        <f t="shared" si="157"/>
        <v>2774.1935483870966</v>
      </c>
      <c r="P252" s="212"/>
    </row>
    <row r="253" spans="1:16">
      <c r="A253" s="270"/>
      <c r="B253" s="221">
        <v>5581150299</v>
      </c>
      <c r="C253" s="223" t="s">
        <v>50</v>
      </c>
      <c r="D253" s="209">
        <f t="shared" si="147"/>
        <v>935.48387096774195</v>
      </c>
      <c r="E253" s="209">
        <f t="shared" si="148"/>
        <v>4857.1428571428569</v>
      </c>
      <c r="F253" s="209">
        <f t="shared" si="149"/>
        <v>3870.9677419354839</v>
      </c>
      <c r="G253" s="209">
        <f t="shared" si="150"/>
        <v>4566.666666666667</v>
      </c>
      <c r="H253" s="209">
        <f t="shared" si="151"/>
        <v>2612.9032258064517</v>
      </c>
      <c r="I253" s="209">
        <f t="shared" si="152"/>
        <v>333.33333333333331</v>
      </c>
      <c r="J253" s="209">
        <f t="shared" ref="J253:K253" si="161">(J227*1000)/31</f>
        <v>290.32258064516128</v>
      </c>
      <c r="K253" s="209">
        <f t="shared" si="161"/>
        <v>645.16129032258061</v>
      </c>
      <c r="L253" s="209">
        <f t="shared" si="154"/>
        <v>4200</v>
      </c>
      <c r="M253" s="209">
        <f t="shared" si="155"/>
        <v>4451.6129032258068</v>
      </c>
      <c r="N253" s="209">
        <f t="shared" si="156"/>
        <v>4600</v>
      </c>
      <c r="O253" s="209">
        <f t="shared" si="157"/>
        <v>3903.2258064516127</v>
      </c>
      <c r="P253" s="212"/>
    </row>
    <row r="254" spans="1:16">
      <c r="A254" s="270"/>
      <c r="B254" s="221">
        <v>5366050936</v>
      </c>
      <c r="C254" s="223" t="s">
        <v>51</v>
      </c>
      <c r="D254" s="209">
        <f t="shared" si="147"/>
        <v>3290.3225806451615</v>
      </c>
      <c r="E254" s="209">
        <f t="shared" si="148"/>
        <v>7714.2857142857147</v>
      </c>
      <c r="F254" s="209">
        <f t="shared" si="149"/>
        <v>806.45161290322585</v>
      </c>
      <c r="G254" s="209">
        <f t="shared" si="150"/>
        <v>700</v>
      </c>
      <c r="H254" s="209">
        <f t="shared" si="151"/>
        <v>709.67741935483866</v>
      </c>
      <c r="I254" s="209">
        <f t="shared" si="152"/>
        <v>500</v>
      </c>
      <c r="J254" s="209">
        <f t="shared" ref="J254:K254" si="162">(J228*1000)/31</f>
        <v>838.70967741935488</v>
      </c>
      <c r="K254" s="209">
        <f t="shared" si="162"/>
        <v>483.87096774193549</v>
      </c>
      <c r="L254" s="209">
        <f t="shared" si="154"/>
        <v>1200</v>
      </c>
      <c r="M254" s="209">
        <f t="shared" si="155"/>
        <v>1322.5806451612902</v>
      </c>
      <c r="N254" s="209">
        <f t="shared" si="156"/>
        <v>1300</v>
      </c>
      <c r="O254" s="209">
        <f t="shared" si="157"/>
        <v>1064.516129032258</v>
      </c>
      <c r="P254" s="212"/>
    </row>
    <row r="255" spans="1:16">
      <c r="A255" s="300"/>
      <c r="B255" s="221">
        <v>2052150585</v>
      </c>
      <c r="C255" s="223" t="s">
        <v>52</v>
      </c>
      <c r="D255" s="209">
        <f t="shared" si="147"/>
        <v>1451.6129032258063</v>
      </c>
      <c r="E255" s="209">
        <f t="shared" si="148"/>
        <v>6107.1428571428569</v>
      </c>
      <c r="F255" s="209">
        <f t="shared" si="149"/>
        <v>7129.0322580645161</v>
      </c>
      <c r="G255" s="209">
        <f t="shared" si="150"/>
        <v>9033.3333333333339</v>
      </c>
      <c r="H255" s="209">
        <f t="shared" si="151"/>
        <v>8967.7419354838712</v>
      </c>
      <c r="I255" s="209">
        <f t="shared" si="152"/>
        <v>3866.6666666666665</v>
      </c>
      <c r="J255" s="209">
        <f t="shared" ref="J255:K255" si="163">(J229*1000)/31</f>
        <v>6258.0645161290322</v>
      </c>
      <c r="K255" s="209">
        <f t="shared" si="163"/>
        <v>11645.161290322581</v>
      </c>
      <c r="L255" s="209">
        <f t="shared" si="154"/>
        <v>15933.333333333334</v>
      </c>
      <c r="M255" s="209">
        <f t="shared" si="155"/>
        <v>16580.645161290322</v>
      </c>
      <c r="N255" s="209">
        <f t="shared" si="156"/>
        <v>10066.666666666666</v>
      </c>
      <c r="O255" s="209">
        <f t="shared" si="157"/>
        <v>8612.9032258064508</v>
      </c>
      <c r="P255" s="212"/>
    </row>
    <row r="256" spans="1:16">
      <c r="A256" s="270"/>
      <c r="B256" s="221">
        <v>8635150066</v>
      </c>
      <c r="C256" s="223" t="s">
        <v>53</v>
      </c>
      <c r="D256" s="209">
        <f t="shared" si="147"/>
        <v>32.258064516129032</v>
      </c>
      <c r="E256" s="209">
        <f t="shared" si="148"/>
        <v>392.85714285714283</v>
      </c>
      <c r="F256" s="209">
        <f t="shared" si="149"/>
        <v>193.54838709677421</v>
      </c>
      <c r="G256" s="209">
        <f t="shared" si="150"/>
        <v>300</v>
      </c>
      <c r="H256" s="209">
        <f t="shared" si="151"/>
        <v>322.58064516129031</v>
      </c>
      <c r="I256" s="209">
        <f t="shared" si="152"/>
        <v>266.66666666666669</v>
      </c>
      <c r="J256" s="209">
        <f t="shared" ref="J256:K256" si="164">(J230*1000)/31</f>
        <v>96.774193548387103</v>
      </c>
      <c r="K256" s="209">
        <f t="shared" si="164"/>
        <v>129.03225806451613</v>
      </c>
      <c r="L256" s="209">
        <f t="shared" si="154"/>
        <v>966.66666666666663</v>
      </c>
      <c r="M256" s="209">
        <f t="shared" si="155"/>
        <v>645.16129032258061</v>
      </c>
      <c r="N256" s="209">
        <f t="shared" si="156"/>
        <v>100</v>
      </c>
      <c r="O256" s="209">
        <f t="shared" si="157"/>
        <v>96.774193548387103</v>
      </c>
      <c r="P256" s="212"/>
    </row>
    <row r="257" spans="1:16">
      <c r="A257" s="270"/>
      <c r="B257" s="222">
        <v>6663150208</v>
      </c>
      <c r="C257" s="223" t="s">
        <v>54</v>
      </c>
      <c r="D257" s="209">
        <f t="shared" si="147"/>
        <v>838.70967741935488</v>
      </c>
      <c r="E257" s="209">
        <f t="shared" si="148"/>
        <v>714.28571428571433</v>
      </c>
      <c r="F257" s="209">
        <f t="shared" si="149"/>
        <v>709.67741935483866</v>
      </c>
      <c r="G257" s="209">
        <f t="shared" si="150"/>
        <v>700</v>
      </c>
      <c r="H257" s="209">
        <f t="shared" si="151"/>
        <v>580.64516129032256</v>
      </c>
      <c r="I257" s="209">
        <f t="shared" si="152"/>
        <v>333.33333333333331</v>
      </c>
      <c r="J257" s="209">
        <f t="shared" ref="J257:K257" si="165">(J231*1000)/31</f>
        <v>290.32258064516128</v>
      </c>
      <c r="K257" s="209">
        <f t="shared" si="165"/>
        <v>548.38709677419354</v>
      </c>
      <c r="L257" s="209">
        <f t="shared" si="154"/>
        <v>700</v>
      </c>
      <c r="M257" s="209">
        <f t="shared" si="155"/>
        <v>1161.2903225806451</v>
      </c>
      <c r="N257" s="209">
        <f t="shared" si="156"/>
        <v>766.66666666666663</v>
      </c>
      <c r="O257" s="209">
        <f t="shared" si="157"/>
        <v>677.41935483870964</v>
      </c>
      <c r="P257" s="212"/>
    </row>
    <row r="258" spans="1:16">
      <c r="A258" s="270"/>
      <c r="B258" s="221">
        <v>6068150813</v>
      </c>
      <c r="C258" s="223" t="s">
        <v>55</v>
      </c>
      <c r="D258" s="209">
        <f t="shared" si="147"/>
        <v>193.54838709677421</v>
      </c>
      <c r="E258" s="209">
        <f t="shared" si="148"/>
        <v>857.14285714285711</v>
      </c>
      <c r="F258" s="209">
        <f t="shared" si="149"/>
        <v>645.16129032258061</v>
      </c>
      <c r="G258" s="209">
        <f t="shared" si="150"/>
        <v>1066.6666666666667</v>
      </c>
      <c r="H258" s="209">
        <f t="shared" si="151"/>
        <v>3354.8387096774195</v>
      </c>
      <c r="I258" s="209">
        <f t="shared" si="152"/>
        <v>2400</v>
      </c>
      <c r="J258" s="209">
        <f t="shared" ref="J258:K258" si="166">(J232*1000)/31</f>
        <v>3612.9032258064517</v>
      </c>
      <c r="K258" s="209">
        <f t="shared" si="166"/>
        <v>7096.7741935483873</v>
      </c>
      <c r="L258" s="209">
        <f t="shared" si="154"/>
        <v>7466.666666666667</v>
      </c>
      <c r="M258" s="209">
        <f t="shared" si="155"/>
        <v>6322.5806451612907</v>
      </c>
      <c r="N258" s="209">
        <f t="shared" si="156"/>
        <v>900</v>
      </c>
      <c r="O258" s="209">
        <f t="shared" si="157"/>
        <v>612.90322580645159</v>
      </c>
      <c r="P258" s="212"/>
    </row>
    <row r="259" spans="1:16">
      <c r="A259" s="270"/>
      <c r="B259" s="222">
        <v>5068150812</v>
      </c>
      <c r="C259" s="223" t="s">
        <v>56</v>
      </c>
      <c r="D259" s="209">
        <f t="shared" si="147"/>
        <v>225.80645161290323</v>
      </c>
      <c r="E259" s="209">
        <f t="shared" si="148"/>
        <v>642.85714285714289</v>
      </c>
      <c r="F259" s="209">
        <f t="shared" si="149"/>
        <v>322.58064516129031</v>
      </c>
      <c r="G259" s="209">
        <f t="shared" si="150"/>
        <v>366.66666666666669</v>
      </c>
      <c r="H259" s="209">
        <f t="shared" si="151"/>
        <v>258.06451612903226</v>
      </c>
      <c r="I259" s="209">
        <f t="shared" si="152"/>
        <v>200</v>
      </c>
      <c r="J259" s="209">
        <f t="shared" ref="J259:K259" si="167">(J233*1000)/31</f>
        <v>64.516129032258064</v>
      </c>
      <c r="K259" s="209">
        <f t="shared" si="167"/>
        <v>225.80645161290323</v>
      </c>
      <c r="L259" s="209">
        <f t="shared" si="154"/>
        <v>333.33333333333331</v>
      </c>
      <c r="M259" s="209">
        <f t="shared" si="155"/>
        <v>354.83870967741933</v>
      </c>
      <c r="N259" s="209">
        <f t="shared" si="156"/>
        <v>366.66666666666669</v>
      </c>
      <c r="O259" s="209">
        <f t="shared" si="157"/>
        <v>354.83870967741933</v>
      </c>
      <c r="P259" s="212"/>
    </row>
    <row r="260" spans="1:16">
      <c r="A260" s="270"/>
      <c r="B260" s="222">
        <v>2364150700</v>
      </c>
      <c r="C260" s="223" t="s">
        <v>57</v>
      </c>
      <c r="D260" s="209">
        <f t="shared" si="147"/>
        <v>967.74193548387098</v>
      </c>
      <c r="E260" s="209">
        <f t="shared" si="148"/>
        <v>1785.7142857142858</v>
      </c>
      <c r="F260" s="209">
        <f t="shared" si="149"/>
        <v>1870.9677419354839</v>
      </c>
      <c r="G260" s="209">
        <f t="shared" si="150"/>
        <v>1500</v>
      </c>
      <c r="H260" s="209">
        <f t="shared" si="151"/>
        <v>1645.1612903225807</v>
      </c>
      <c r="I260" s="209">
        <f t="shared" si="152"/>
        <v>1300</v>
      </c>
      <c r="J260" s="209">
        <f t="shared" ref="J260:K260" si="168">(J234*1000)/31</f>
        <v>1645.1612903225807</v>
      </c>
      <c r="K260" s="209">
        <f t="shared" si="168"/>
        <v>1709.6774193548388</v>
      </c>
      <c r="L260" s="209">
        <f t="shared" si="154"/>
        <v>2566.6666666666665</v>
      </c>
      <c r="M260" s="209">
        <f t="shared" si="155"/>
        <v>1870.9677419354839</v>
      </c>
      <c r="N260" s="209">
        <f t="shared" si="156"/>
        <v>2000</v>
      </c>
      <c r="O260" s="209">
        <f t="shared" si="157"/>
        <v>1290.3225806451612</v>
      </c>
      <c r="P260" s="212"/>
    </row>
    <row r="261" spans="1:16">
      <c r="A261" s="270"/>
      <c r="B261" s="222">
        <v>1364150699</v>
      </c>
      <c r="C261" s="223" t="s">
        <v>58</v>
      </c>
      <c r="D261" s="209">
        <f t="shared" si="147"/>
        <v>419.35483870967744</v>
      </c>
      <c r="E261" s="209">
        <f t="shared" si="148"/>
        <v>3428.5714285714284</v>
      </c>
      <c r="F261" s="209">
        <f t="shared" si="149"/>
        <v>1580.6451612903227</v>
      </c>
      <c r="G261" s="209">
        <f t="shared" si="150"/>
        <v>1633.3333333333333</v>
      </c>
      <c r="H261" s="209">
        <f t="shared" si="151"/>
        <v>935.48387096774195</v>
      </c>
      <c r="I261" s="209">
        <f t="shared" si="152"/>
        <v>200</v>
      </c>
      <c r="J261" s="209">
        <f t="shared" ref="J261:K261" si="169">(J235*1000)/31</f>
        <v>1419.3548387096773</v>
      </c>
      <c r="K261" s="209">
        <f t="shared" si="169"/>
        <v>3451.6129032258063</v>
      </c>
      <c r="L261" s="209">
        <f t="shared" si="154"/>
        <v>4966.666666666667</v>
      </c>
      <c r="M261" s="209">
        <f t="shared" si="155"/>
        <v>4580.6451612903229</v>
      </c>
      <c r="N261" s="209">
        <f t="shared" si="156"/>
        <v>2866.6666666666665</v>
      </c>
      <c r="O261" s="209">
        <f t="shared" si="157"/>
        <v>2096.7741935483873</v>
      </c>
      <c r="P261" s="212"/>
    </row>
    <row r="262" spans="1:16">
      <c r="A262" s="270"/>
      <c r="B262" s="221">
        <v>2068150809</v>
      </c>
      <c r="C262" s="223" t="s">
        <v>59</v>
      </c>
      <c r="D262" s="209">
        <f t="shared" si="147"/>
        <v>32.258064516129032</v>
      </c>
      <c r="E262" s="209">
        <f t="shared" si="148"/>
        <v>35.714285714285715</v>
      </c>
      <c r="F262" s="209">
        <f t="shared" si="149"/>
        <v>225.80645161290323</v>
      </c>
      <c r="G262" s="209">
        <f t="shared" si="150"/>
        <v>66.666666666666671</v>
      </c>
      <c r="H262" s="209">
        <f t="shared" si="151"/>
        <v>64.516129032258064</v>
      </c>
      <c r="I262" s="209">
        <f t="shared" si="152"/>
        <v>0</v>
      </c>
      <c r="J262" s="209">
        <f t="shared" ref="J262:K262" si="170">(J236*1000)/31</f>
        <v>32.258064516129032</v>
      </c>
      <c r="K262" s="209">
        <f t="shared" si="170"/>
        <v>32.258064516129032</v>
      </c>
      <c r="L262" s="209">
        <f t="shared" si="154"/>
        <v>66.666666666666671</v>
      </c>
      <c r="M262" s="209">
        <f t="shared" si="155"/>
        <v>32.258064516129032</v>
      </c>
      <c r="N262" s="209">
        <f t="shared" si="156"/>
        <v>33.333333333333336</v>
      </c>
      <c r="O262" s="209">
        <f t="shared" si="157"/>
        <v>64.516129032258064</v>
      </c>
      <c r="P262" s="212"/>
    </row>
    <row r="263" spans="1:16">
      <c r="A263" s="270"/>
      <c r="B263" s="221">
        <v>5756250297</v>
      </c>
      <c r="C263" s="223" t="s">
        <v>60</v>
      </c>
      <c r="D263" s="209">
        <f t="shared" si="147"/>
        <v>5322.5806451612907</v>
      </c>
      <c r="E263" s="209">
        <f t="shared" si="148"/>
        <v>11535.714285714286</v>
      </c>
      <c r="F263" s="209">
        <f t="shared" si="149"/>
        <v>10580.645161290322</v>
      </c>
      <c r="G263" s="209">
        <f t="shared" si="150"/>
        <v>15033.333333333334</v>
      </c>
      <c r="H263" s="209">
        <f t="shared" si="151"/>
        <v>13580.645161290322</v>
      </c>
      <c r="I263" s="209">
        <f t="shared" si="152"/>
        <v>10700</v>
      </c>
      <c r="J263" s="209">
        <f t="shared" ref="J263:K263" si="171">(J237*1000)/31</f>
        <v>11612.903225806451</v>
      </c>
      <c r="K263" s="209">
        <f t="shared" si="171"/>
        <v>17225.806451612902</v>
      </c>
      <c r="L263" s="209">
        <f t="shared" si="154"/>
        <v>22733.333333333332</v>
      </c>
      <c r="M263" s="209">
        <f t="shared" si="155"/>
        <v>16064.516129032258</v>
      </c>
      <c r="N263" s="209">
        <f t="shared" si="156"/>
        <v>12433.333333333334</v>
      </c>
      <c r="O263" s="209">
        <f t="shared" si="157"/>
        <v>10096.774193548386</v>
      </c>
      <c r="P263" s="212"/>
    </row>
    <row r="264" spans="1:16">
      <c r="A264" s="270"/>
      <c r="B264" s="222">
        <v>1665911804</v>
      </c>
      <c r="C264" s="223" t="s">
        <v>61</v>
      </c>
      <c r="D264" s="209">
        <f t="shared" si="147"/>
        <v>225.80645161290323</v>
      </c>
      <c r="E264" s="209">
        <f t="shared" si="148"/>
        <v>607.14285714285711</v>
      </c>
      <c r="F264" s="209">
        <f t="shared" si="149"/>
        <v>451.61290322580646</v>
      </c>
      <c r="G264" s="209">
        <f t="shared" si="150"/>
        <v>533.33333333333337</v>
      </c>
      <c r="H264" s="209">
        <f t="shared" si="151"/>
        <v>322.58064516129031</v>
      </c>
      <c r="I264" s="209">
        <f t="shared" si="152"/>
        <v>266.66666666666669</v>
      </c>
      <c r="J264" s="209">
        <f t="shared" ref="J264:K264" si="172">(J238*1000)/31</f>
        <v>548.38709677419354</v>
      </c>
      <c r="K264" s="209">
        <f t="shared" si="172"/>
        <v>741.93548387096769</v>
      </c>
      <c r="L264" s="209">
        <f t="shared" si="154"/>
        <v>100</v>
      </c>
      <c r="M264" s="209">
        <f t="shared" si="155"/>
        <v>129.03225806451613</v>
      </c>
      <c r="N264" s="209">
        <f t="shared" si="156"/>
        <v>100</v>
      </c>
      <c r="O264" s="209">
        <f t="shared" si="157"/>
        <v>129.03225806451613</v>
      </c>
      <c r="P264" s="212"/>
    </row>
    <row r="265" spans="1:16">
      <c r="A265" s="270"/>
      <c r="B265" s="222">
        <v>3054467971</v>
      </c>
      <c r="C265" s="223" t="s">
        <v>62</v>
      </c>
      <c r="D265" s="209">
        <f t="shared" si="147"/>
        <v>483.87096774193549</v>
      </c>
      <c r="E265" s="209">
        <f t="shared" si="148"/>
        <v>964.28571428571433</v>
      </c>
      <c r="F265" s="209">
        <f t="shared" si="149"/>
        <v>903.22580645161293</v>
      </c>
      <c r="G265" s="209">
        <f t="shared" si="150"/>
        <v>966.66666666666663</v>
      </c>
      <c r="H265" s="209">
        <f t="shared" si="151"/>
        <v>935.48387096774195</v>
      </c>
      <c r="I265" s="209">
        <f t="shared" si="152"/>
        <v>733.33333333333337</v>
      </c>
      <c r="J265" s="209">
        <f t="shared" ref="J265:K265" si="173">(J239*1000)/31</f>
        <v>870.9677419354839</v>
      </c>
      <c r="K265" s="209">
        <f t="shared" si="173"/>
        <v>806.45161290322585</v>
      </c>
      <c r="L265" s="209">
        <f t="shared" si="154"/>
        <v>1200</v>
      </c>
      <c r="M265" s="209">
        <f t="shared" si="155"/>
        <v>1096.7741935483871</v>
      </c>
      <c r="N265" s="209">
        <f t="shared" si="156"/>
        <v>1000</v>
      </c>
      <c r="O265" s="209">
        <f t="shared" si="157"/>
        <v>967.74193548387098</v>
      </c>
      <c r="P265" s="212"/>
    </row>
    <row r="266" spans="1:16">
      <c r="A266" s="270"/>
      <c r="B266" s="222">
        <v>3380811569</v>
      </c>
      <c r="C266" s="223" t="s">
        <v>63</v>
      </c>
      <c r="D266" s="209">
        <f t="shared" si="147"/>
        <v>0</v>
      </c>
      <c r="E266" s="209">
        <f t="shared" si="148"/>
        <v>35.714285714285715</v>
      </c>
      <c r="F266" s="209">
        <f t="shared" si="149"/>
        <v>32.258064516129032</v>
      </c>
      <c r="G266" s="209">
        <f t="shared" si="150"/>
        <v>0</v>
      </c>
      <c r="H266" s="209">
        <f t="shared" si="151"/>
        <v>32.258064516129032</v>
      </c>
      <c r="I266" s="209">
        <f t="shared" si="152"/>
        <v>0</v>
      </c>
      <c r="J266" s="209">
        <f t="shared" ref="J266:K266" si="174">(J240*1000)/31</f>
        <v>32.258064516129032</v>
      </c>
      <c r="K266" s="209">
        <f t="shared" si="174"/>
        <v>0</v>
      </c>
      <c r="L266" s="209">
        <f t="shared" si="154"/>
        <v>33.333333333333336</v>
      </c>
      <c r="M266" s="209">
        <f t="shared" si="155"/>
        <v>64.516129032258064</v>
      </c>
      <c r="N266" s="209">
        <f t="shared" si="156"/>
        <v>33.333333333333336</v>
      </c>
      <c r="O266" s="209">
        <f t="shared" si="157"/>
        <v>32.258064516129032</v>
      </c>
      <c r="P266" s="212"/>
    </row>
    <row r="267" spans="1:16">
      <c r="A267" s="212"/>
      <c r="B267" s="212"/>
      <c r="C267" s="212"/>
      <c r="D267" s="253">
        <f>SUM(D248:D266)</f>
        <v>20451.612903225807</v>
      </c>
      <c r="E267" s="331">
        <f t="shared" ref="E267:O267" si="175">SUM(E248:E266)</f>
        <v>52642.85714285713</v>
      </c>
      <c r="F267" s="331">
        <f t="shared" si="175"/>
        <v>43096.774193548379</v>
      </c>
      <c r="G267" s="331">
        <f t="shared" si="175"/>
        <v>51566.666666666672</v>
      </c>
      <c r="H267" s="331">
        <f t="shared" si="175"/>
        <v>47419.354838709674</v>
      </c>
      <c r="I267" s="331">
        <f t="shared" si="175"/>
        <v>27133.333333333336</v>
      </c>
      <c r="J267" s="331">
        <f t="shared" si="175"/>
        <v>30709.677419354837</v>
      </c>
      <c r="K267" s="331">
        <f t="shared" si="175"/>
        <v>47322.580645161288</v>
      </c>
      <c r="L267" s="331">
        <f t="shared" si="175"/>
        <v>68466.666666666657</v>
      </c>
      <c r="M267" s="331">
        <f t="shared" si="175"/>
        <v>61064.516129032258</v>
      </c>
      <c r="N267" s="331">
        <f t="shared" si="175"/>
        <v>42866.666666666672</v>
      </c>
      <c r="O267" s="331">
        <f t="shared" si="175"/>
        <v>36096.774193548379</v>
      </c>
      <c r="P267" s="212"/>
    </row>
    <row r="268" spans="1:16">
      <c r="A268" s="212"/>
      <c r="B268" s="212"/>
      <c r="C268" s="212"/>
      <c r="D268" s="212"/>
      <c r="E268" s="213"/>
      <c r="F268" s="213"/>
      <c r="G268" s="213"/>
      <c r="H268" s="213"/>
      <c r="I268" s="213"/>
      <c r="J268" s="213"/>
      <c r="K268" s="213"/>
      <c r="L268" s="213"/>
      <c r="M268" s="213"/>
      <c r="N268" s="213"/>
      <c r="O268" s="213"/>
      <c r="P268" s="212"/>
    </row>
    <row r="269" spans="1:16">
      <c r="A269" s="242"/>
      <c r="B269" s="242"/>
      <c r="C269" s="242"/>
      <c r="D269" s="242"/>
      <c r="E269" s="241"/>
      <c r="F269" s="241"/>
      <c r="G269" s="241"/>
      <c r="H269" s="241"/>
      <c r="I269" s="241"/>
      <c r="J269" s="241"/>
      <c r="K269" s="241"/>
      <c r="L269" s="241"/>
      <c r="M269" s="241"/>
      <c r="N269" s="241"/>
      <c r="O269" s="241"/>
      <c r="P269" s="242"/>
    </row>
    <row r="270" spans="1:16">
      <c r="A270" s="238" t="s">
        <v>72</v>
      </c>
      <c r="B270" s="240">
        <v>2024</v>
      </c>
      <c r="C270" s="212"/>
      <c r="D270" s="212"/>
      <c r="E270" s="212"/>
      <c r="F270" s="212"/>
      <c r="G270" s="212"/>
      <c r="H270" s="212"/>
      <c r="I270" s="212"/>
      <c r="J270" s="212"/>
      <c r="K270" s="212"/>
      <c r="L270" s="212"/>
      <c r="M270" s="212"/>
      <c r="N270" s="212"/>
      <c r="O270" s="212"/>
      <c r="P270" s="212"/>
    </row>
    <row r="271" spans="1:16" ht="15.75" thickBot="1">
      <c r="A271" s="239" t="s">
        <v>30</v>
      </c>
      <c r="B271" s="215" t="s">
        <v>31</v>
      </c>
      <c r="C271" s="216" t="s">
        <v>32</v>
      </c>
      <c r="D271" s="217" t="s">
        <v>33</v>
      </c>
      <c r="E271" s="218" t="s">
        <v>34</v>
      </c>
      <c r="F271" s="219" t="s">
        <v>35</v>
      </c>
      <c r="G271" s="219" t="s">
        <v>36</v>
      </c>
      <c r="H271" s="219" t="s">
        <v>37</v>
      </c>
      <c r="I271" s="219" t="s">
        <v>38</v>
      </c>
      <c r="J271" s="219" t="s">
        <v>39</v>
      </c>
      <c r="K271" s="219" t="s">
        <v>40</v>
      </c>
      <c r="L271" s="219" t="s">
        <v>41</v>
      </c>
      <c r="M271" s="219" t="s">
        <v>42</v>
      </c>
      <c r="N271" s="219" t="s">
        <v>43</v>
      </c>
      <c r="O271" s="219" t="s">
        <v>44</v>
      </c>
      <c r="P271" s="306" t="s">
        <v>100</v>
      </c>
    </row>
    <row r="272" spans="1:16">
      <c r="A272" s="212"/>
      <c r="B272" s="220">
        <v>7534810685</v>
      </c>
      <c r="C272" s="223" t="s">
        <v>45</v>
      </c>
      <c r="D272" s="224">
        <v>11</v>
      </c>
      <c r="E272" s="226">
        <v>18</v>
      </c>
      <c r="F272" s="227">
        <v>20</v>
      </c>
      <c r="G272" s="228">
        <v>19</v>
      </c>
      <c r="H272" s="229">
        <v>14</v>
      </c>
      <c r="I272" s="230">
        <v>15</v>
      </c>
      <c r="J272" s="231">
        <v>11</v>
      </c>
      <c r="K272" s="232">
        <v>11</v>
      </c>
      <c r="L272" s="233">
        <v>16</v>
      </c>
      <c r="M272" s="234">
        <v>10</v>
      </c>
      <c r="N272" s="235">
        <v>9</v>
      </c>
      <c r="O272" s="236">
        <v>8</v>
      </c>
      <c r="P272" s="313">
        <f>SUM(D272:O272)</f>
        <v>162</v>
      </c>
    </row>
    <row r="273" spans="1:16">
      <c r="A273" s="212"/>
      <c r="B273" s="220">
        <v>4366050935</v>
      </c>
      <c r="C273" s="223" t="s">
        <v>46</v>
      </c>
      <c r="D273" s="224">
        <v>3</v>
      </c>
      <c r="E273" s="226">
        <v>23</v>
      </c>
      <c r="F273" s="227">
        <v>24</v>
      </c>
      <c r="G273" s="228">
        <v>23</v>
      </c>
      <c r="H273" s="229">
        <v>24</v>
      </c>
      <c r="I273" s="230">
        <v>17</v>
      </c>
      <c r="J273" s="231">
        <v>36</v>
      </c>
      <c r="K273" s="232">
        <v>15</v>
      </c>
      <c r="L273" s="233">
        <v>47</v>
      </c>
      <c r="M273" s="234">
        <v>47</v>
      </c>
      <c r="N273" s="235">
        <v>48</v>
      </c>
      <c r="O273" s="236">
        <v>108</v>
      </c>
      <c r="P273" s="340">
        <f>SUM(D273:O273)</f>
        <v>415</v>
      </c>
    </row>
    <row r="274" spans="1:16">
      <c r="A274" s="212"/>
      <c r="B274" s="220">
        <v>6366050937</v>
      </c>
      <c r="C274" s="223" t="s">
        <v>47</v>
      </c>
      <c r="D274" s="224">
        <v>0</v>
      </c>
      <c r="E274" s="226">
        <v>12</v>
      </c>
      <c r="F274" s="227">
        <v>13</v>
      </c>
      <c r="G274" s="228">
        <v>13</v>
      </c>
      <c r="H274" s="229">
        <v>13</v>
      </c>
      <c r="I274" s="230">
        <v>64</v>
      </c>
      <c r="J274" s="231">
        <v>0</v>
      </c>
      <c r="K274" s="232">
        <v>1</v>
      </c>
      <c r="L274" s="233">
        <v>15</v>
      </c>
      <c r="M274" s="234">
        <v>48</v>
      </c>
      <c r="N274" s="235">
        <v>22</v>
      </c>
      <c r="O274" s="236">
        <v>20</v>
      </c>
      <c r="P274" s="340">
        <f t="shared" ref="P274:P290" si="176">SUM(D274:O274)</f>
        <v>221</v>
      </c>
    </row>
    <row r="275" spans="1:16">
      <c r="A275" s="212"/>
      <c r="B275" s="220">
        <v>7366050938</v>
      </c>
      <c r="C275" s="223" t="s">
        <v>48</v>
      </c>
      <c r="D275" s="224">
        <v>16</v>
      </c>
      <c r="E275" s="226">
        <v>29</v>
      </c>
      <c r="F275" s="227">
        <v>26</v>
      </c>
      <c r="G275" s="228">
        <v>42</v>
      </c>
      <c r="H275" s="229">
        <v>56</v>
      </c>
      <c r="I275" s="230">
        <v>13</v>
      </c>
      <c r="J275" s="231">
        <v>19</v>
      </c>
      <c r="K275" s="232">
        <v>40</v>
      </c>
      <c r="L275" s="233">
        <v>40</v>
      </c>
      <c r="M275" s="234">
        <v>25</v>
      </c>
      <c r="N275" s="235">
        <v>36</v>
      </c>
      <c r="O275" s="236">
        <v>41</v>
      </c>
      <c r="P275" s="340">
        <f t="shared" si="176"/>
        <v>383</v>
      </c>
    </row>
    <row r="276" spans="1:16">
      <c r="A276" s="212"/>
      <c r="B276" s="220">
        <v>3366050934</v>
      </c>
      <c r="C276" s="223" t="s">
        <v>49</v>
      </c>
      <c r="D276" s="224">
        <v>37</v>
      </c>
      <c r="E276" s="226">
        <v>98</v>
      </c>
      <c r="F276" s="227">
        <v>80</v>
      </c>
      <c r="G276" s="228">
        <v>87</v>
      </c>
      <c r="H276" s="229">
        <v>78</v>
      </c>
      <c r="I276" s="230">
        <v>23</v>
      </c>
      <c r="J276" s="231">
        <v>15</v>
      </c>
      <c r="K276" s="232">
        <v>18</v>
      </c>
      <c r="L276" s="233">
        <v>63</v>
      </c>
      <c r="M276" s="234">
        <v>99</v>
      </c>
      <c r="N276" s="235">
        <v>216</v>
      </c>
      <c r="O276" s="236">
        <v>96</v>
      </c>
      <c r="P276" s="340">
        <f t="shared" si="176"/>
        <v>910</v>
      </c>
    </row>
    <row r="277" spans="1:16">
      <c r="A277" s="212"/>
      <c r="B277" s="221">
        <v>5581150299</v>
      </c>
      <c r="C277" s="223" t="s">
        <v>50</v>
      </c>
      <c r="D277" s="224">
        <v>7</v>
      </c>
      <c r="E277" s="226">
        <v>186</v>
      </c>
      <c r="F277" s="227">
        <v>206</v>
      </c>
      <c r="G277" s="228">
        <v>278</v>
      </c>
      <c r="H277" s="229">
        <v>223</v>
      </c>
      <c r="I277" s="230">
        <v>128</v>
      </c>
      <c r="J277" s="231">
        <v>64</v>
      </c>
      <c r="K277" s="232">
        <v>10</v>
      </c>
      <c r="L277" s="233">
        <v>122</v>
      </c>
      <c r="M277" s="234">
        <v>144</v>
      </c>
      <c r="N277" s="235">
        <v>153</v>
      </c>
      <c r="O277" s="236">
        <v>139</v>
      </c>
      <c r="P277" s="340">
        <f t="shared" si="176"/>
        <v>1660</v>
      </c>
    </row>
    <row r="278" spans="1:16">
      <c r="A278" s="212"/>
      <c r="B278" s="221">
        <v>5366050936</v>
      </c>
      <c r="C278" s="223" t="s">
        <v>51</v>
      </c>
      <c r="D278" s="224">
        <v>7</v>
      </c>
      <c r="E278" s="226">
        <v>36</v>
      </c>
      <c r="F278" s="227">
        <v>37</v>
      </c>
      <c r="G278" s="228">
        <v>34</v>
      </c>
      <c r="H278" s="229">
        <v>39</v>
      </c>
      <c r="I278" s="230">
        <v>11</v>
      </c>
      <c r="J278" s="231">
        <v>15</v>
      </c>
      <c r="K278" s="232">
        <v>61</v>
      </c>
      <c r="L278" s="233">
        <v>82</v>
      </c>
      <c r="M278" s="234">
        <v>30</v>
      </c>
      <c r="N278" s="235">
        <v>90</v>
      </c>
      <c r="O278" s="236">
        <v>152</v>
      </c>
      <c r="P278" s="340">
        <f t="shared" si="176"/>
        <v>594</v>
      </c>
    </row>
    <row r="279" spans="1:16">
      <c r="A279" s="212"/>
      <c r="B279" s="221">
        <v>2052150585</v>
      </c>
      <c r="C279" s="223" t="s">
        <v>52</v>
      </c>
      <c r="D279" s="224">
        <v>122</v>
      </c>
      <c r="E279" s="226">
        <v>216</v>
      </c>
      <c r="F279" s="227">
        <v>156</v>
      </c>
      <c r="G279" s="228">
        <v>165</v>
      </c>
      <c r="H279" s="229">
        <v>220</v>
      </c>
      <c r="I279" s="230">
        <v>282</v>
      </c>
      <c r="J279" s="231">
        <v>419</v>
      </c>
      <c r="K279" s="232">
        <v>403</v>
      </c>
      <c r="L279" s="233">
        <v>438</v>
      </c>
      <c r="M279" s="234">
        <v>383</v>
      </c>
      <c r="N279" s="235">
        <v>193</v>
      </c>
      <c r="O279" s="236">
        <v>112</v>
      </c>
      <c r="P279" s="340">
        <f t="shared" si="176"/>
        <v>3109</v>
      </c>
    </row>
    <row r="280" spans="1:16">
      <c r="A280" s="212"/>
      <c r="B280" s="221">
        <v>8635150066</v>
      </c>
      <c r="C280" s="223" t="s">
        <v>53</v>
      </c>
      <c r="D280" s="224">
        <v>3</v>
      </c>
      <c r="E280" s="226">
        <v>17</v>
      </c>
      <c r="F280" s="227">
        <v>7</v>
      </c>
      <c r="G280" s="228">
        <v>4</v>
      </c>
      <c r="H280" s="229">
        <v>4</v>
      </c>
      <c r="I280" s="230">
        <v>0</v>
      </c>
      <c r="J280" s="231">
        <v>2</v>
      </c>
      <c r="K280" s="232">
        <v>1</v>
      </c>
      <c r="L280" s="233">
        <v>3</v>
      </c>
      <c r="M280" s="234">
        <v>7</v>
      </c>
      <c r="N280" s="235">
        <v>9</v>
      </c>
      <c r="O280" s="236">
        <v>7</v>
      </c>
      <c r="P280" s="340">
        <f t="shared" si="176"/>
        <v>64</v>
      </c>
    </row>
    <row r="281" spans="1:16">
      <c r="A281" s="212"/>
      <c r="B281" s="222">
        <v>6663150208</v>
      </c>
      <c r="C281" s="223" t="s">
        <v>54</v>
      </c>
      <c r="D281" s="224">
        <v>4</v>
      </c>
      <c r="E281" s="226">
        <v>13</v>
      </c>
      <c r="F281" s="227">
        <v>15</v>
      </c>
      <c r="G281" s="228">
        <v>15</v>
      </c>
      <c r="H281" s="229">
        <v>21</v>
      </c>
      <c r="I281" s="230">
        <v>8</v>
      </c>
      <c r="J281" s="231">
        <v>6</v>
      </c>
      <c r="K281" s="232">
        <v>8</v>
      </c>
      <c r="L281" s="233">
        <v>14</v>
      </c>
      <c r="M281" s="234">
        <v>27</v>
      </c>
      <c r="N281" s="235">
        <v>22</v>
      </c>
      <c r="O281" s="236">
        <v>18</v>
      </c>
      <c r="P281" s="340">
        <f t="shared" si="176"/>
        <v>171</v>
      </c>
    </row>
    <row r="282" spans="1:16">
      <c r="A282" s="212"/>
      <c r="B282" s="221">
        <v>6068150813</v>
      </c>
      <c r="C282" s="223" t="s">
        <v>55</v>
      </c>
      <c r="D282" s="224">
        <v>32</v>
      </c>
      <c r="E282" s="226">
        <v>26</v>
      </c>
      <c r="F282" s="227">
        <v>19</v>
      </c>
      <c r="G282" s="228">
        <v>19</v>
      </c>
      <c r="H282" s="229">
        <v>55</v>
      </c>
      <c r="I282" s="230">
        <v>176</v>
      </c>
      <c r="J282" s="231">
        <v>269</v>
      </c>
      <c r="K282" s="232">
        <v>218</v>
      </c>
      <c r="L282" s="233">
        <v>255</v>
      </c>
      <c r="M282" s="234">
        <v>173</v>
      </c>
      <c r="N282" s="235">
        <v>77</v>
      </c>
      <c r="O282" s="236">
        <v>15</v>
      </c>
      <c r="P282" s="340">
        <f t="shared" si="176"/>
        <v>1334</v>
      </c>
    </row>
    <row r="283" spans="1:16">
      <c r="A283" s="212"/>
      <c r="B283" s="222">
        <v>5068150812</v>
      </c>
      <c r="C283" s="223" t="s">
        <v>56</v>
      </c>
      <c r="D283" s="224">
        <v>5</v>
      </c>
      <c r="E283" s="226">
        <v>12</v>
      </c>
      <c r="F283" s="227">
        <v>12</v>
      </c>
      <c r="G283" s="228">
        <v>12</v>
      </c>
      <c r="H283" s="229">
        <v>12</v>
      </c>
      <c r="I283" s="230">
        <v>6</v>
      </c>
      <c r="J283" s="231">
        <v>4</v>
      </c>
      <c r="K283" s="232">
        <v>6</v>
      </c>
      <c r="L283" s="233">
        <v>7</v>
      </c>
      <c r="M283" s="234">
        <v>9</v>
      </c>
      <c r="N283" s="235">
        <v>21</v>
      </c>
      <c r="O283" s="236">
        <v>9</v>
      </c>
      <c r="P283" s="340">
        <f t="shared" si="176"/>
        <v>115</v>
      </c>
    </row>
    <row r="284" spans="1:16">
      <c r="A284" s="212"/>
      <c r="B284" s="222">
        <v>2364150700</v>
      </c>
      <c r="C284" s="223" t="s">
        <v>57</v>
      </c>
      <c r="D284" s="224">
        <v>19</v>
      </c>
      <c r="E284" s="226">
        <v>40</v>
      </c>
      <c r="F284" s="227">
        <v>51</v>
      </c>
      <c r="G284" s="228">
        <v>29</v>
      </c>
      <c r="H284" s="229">
        <v>30</v>
      </c>
      <c r="I284" s="230">
        <v>37</v>
      </c>
      <c r="J284" s="231">
        <v>32</v>
      </c>
      <c r="K284" s="232">
        <v>36</v>
      </c>
      <c r="L284" s="233">
        <v>56</v>
      </c>
      <c r="M284" s="234">
        <v>59</v>
      </c>
      <c r="N284" s="235">
        <v>51</v>
      </c>
      <c r="O284" s="236">
        <v>25</v>
      </c>
      <c r="P284" s="340">
        <f t="shared" si="176"/>
        <v>465</v>
      </c>
    </row>
    <row r="285" spans="1:16">
      <c r="A285" s="212"/>
      <c r="B285" s="222">
        <v>1364150699</v>
      </c>
      <c r="C285" s="223" t="s">
        <v>58</v>
      </c>
      <c r="D285" s="224">
        <v>9</v>
      </c>
      <c r="E285" s="226">
        <v>79</v>
      </c>
      <c r="F285" s="227">
        <v>74</v>
      </c>
      <c r="G285" s="228">
        <v>93</v>
      </c>
      <c r="H285" s="229">
        <v>83</v>
      </c>
      <c r="I285" s="230">
        <v>11</v>
      </c>
      <c r="J285" s="231">
        <v>12</v>
      </c>
      <c r="K285" s="232">
        <v>95</v>
      </c>
      <c r="L285" s="233">
        <v>129</v>
      </c>
      <c r="M285" s="234">
        <v>126</v>
      </c>
      <c r="N285" s="235">
        <v>76</v>
      </c>
      <c r="O285" s="236">
        <v>51</v>
      </c>
      <c r="P285" s="340">
        <f t="shared" si="176"/>
        <v>838</v>
      </c>
    </row>
    <row r="286" spans="1:16">
      <c r="A286" s="212"/>
      <c r="B286" s="221">
        <v>2068150809</v>
      </c>
      <c r="C286" s="223" t="s">
        <v>59</v>
      </c>
      <c r="D286" s="224">
        <v>0</v>
      </c>
      <c r="E286" s="226">
        <v>2</v>
      </c>
      <c r="F286" s="227">
        <v>2</v>
      </c>
      <c r="G286" s="228">
        <v>1</v>
      </c>
      <c r="H286" s="229">
        <v>2</v>
      </c>
      <c r="I286" s="230">
        <v>1</v>
      </c>
      <c r="J286" s="231">
        <v>1</v>
      </c>
      <c r="K286" s="232">
        <v>1</v>
      </c>
      <c r="L286" s="233">
        <v>1</v>
      </c>
      <c r="M286" s="234">
        <v>2</v>
      </c>
      <c r="N286" s="235">
        <v>1</v>
      </c>
      <c r="O286" s="236">
        <v>1</v>
      </c>
      <c r="P286" s="340">
        <f t="shared" si="176"/>
        <v>15</v>
      </c>
    </row>
    <row r="287" spans="1:16">
      <c r="A287" s="212"/>
      <c r="B287" s="221">
        <v>5756250297</v>
      </c>
      <c r="C287" s="223" t="s">
        <v>60</v>
      </c>
      <c r="D287" s="224">
        <v>1</v>
      </c>
      <c r="E287" s="226">
        <v>3</v>
      </c>
      <c r="F287" s="227">
        <v>3</v>
      </c>
      <c r="G287" s="228">
        <v>3</v>
      </c>
      <c r="H287" s="229">
        <v>8</v>
      </c>
      <c r="I287" s="230">
        <v>2</v>
      </c>
      <c r="J287" s="231">
        <v>5</v>
      </c>
      <c r="K287" s="232">
        <v>3</v>
      </c>
      <c r="L287" s="233">
        <v>3</v>
      </c>
      <c r="M287" s="234">
        <v>3</v>
      </c>
      <c r="N287" s="235">
        <v>3</v>
      </c>
      <c r="O287" s="236">
        <v>3</v>
      </c>
      <c r="P287" s="340">
        <f t="shared" si="176"/>
        <v>40</v>
      </c>
    </row>
    <row r="288" spans="1:16">
      <c r="A288" s="212"/>
      <c r="B288" s="222">
        <v>1665911804</v>
      </c>
      <c r="C288" s="223" t="s">
        <v>61</v>
      </c>
      <c r="D288" s="224">
        <v>94</v>
      </c>
      <c r="E288" s="226">
        <v>274</v>
      </c>
      <c r="F288" s="227">
        <v>301</v>
      </c>
      <c r="G288" s="228">
        <v>315</v>
      </c>
      <c r="H288" s="229">
        <v>345</v>
      </c>
      <c r="I288" s="230">
        <v>377</v>
      </c>
      <c r="J288" s="231">
        <v>475</v>
      </c>
      <c r="K288" s="232">
        <v>595</v>
      </c>
      <c r="L288" s="233">
        <v>701</v>
      </c>
      <c r="M288" s="234">
        <v>650</v>
      </c>
      <c r="N288" s="235">
        <v>457</v>
      </c>
      <c r="O288" s="236">
        <v>366</v>
      </c>
      <c r="P288" s="340">
        <f t="shared" si="176"/>
        <v>4950</v>
      </c>
    </row>
    <row r="289" spans="1:16">
      <c r="A289" s="212"/>
      <c r="B289" s="222">
        <v>3054467971</v>
      </c>
      <c r="C289" s="223" t="s">
        <v>62</v>
      </c>
      <c r="D289" s="224">
        <v>14</v>
      </c>
      <c r="E289" s="226">
        <v>29</v>
      </c>
      <c r="F289" s="227">
        <v>29</v>
      </c>
      <c r="G289" s="228">
        <v>29</v>
      </c>
      <c r="H289" s="229">
        <v>38</v>
      </c>
      <c r="I289" s="230">
        <v>37</v>
      </c>
      <c r="J289" s="231">
        <v>19</v>
      </c>
      <c r="K289" s="232">
        <v>21</v>
      </c>
      <c r="L289" s="233">
        <v>28</v>
      </c>
      <c r="M289" s="234">
        <v>30</v>
      </c>
      <c r="N289" s="235">
        <v>29</v>
      </c>
      <c r="O289" s="236">
        <v>23</v>
      </c>
      <c r="P289" s="340">
        <f t="shared" si="176"/>
        <v>326</v>
      </c>
    </row>
    <row r="290" spans="1:16">
      <c r="A290" s="212"/>
      <c r="B290" s="222">
        <v>3380811569</v>
      </c>
      <c r="C290" s="223" t="s">
        <v>63</v>
      </c>
      <c r="D290" s="224">
        <v>0</v>
      </c>
      <c r="E290" s="226">
        <v>1</v>
      </c>
      <c r="F290" s="227">
        <v>1</v>
      </c>
      <c r="G290" s="228">
        <v>0</v>
      </c>
      <c r="H290" s="229">
        <v>1</v>
      </c>
      <c r="I290" s="230">
        <v>1</v>
      </c>
      <c r="J290" s="231">
        <v>1</v>
      </c>
      <c r="K290" s="232">
        <v>1</v>
      </c>
      <c r="L290" s="233">
        <v>0</v>
      </c>
      <c r="M290" s="234">
        <v>2</v>
      </c>
      <c r="N290" s="235">
        <v>1</v>
      </c>
      <c r="O290" s="236">
        <v>1</v>
      </c>
      <c r="P290" s="340">
        <f t="shared" si="176"/>
        <v>10</v>
      </c>
    </row>
    <row r="291" spans="1:16">
      <c r="A291" s="212"/>
      <c r="B291" s="212"/>
      <c r="C291" s="212"/>
      <c r="D291" s="225">
        <f>SUM(D272:D290)</f>
        <v>384</v>
      </c>
      <c r="E291" s="328">
        <f t="shared" ref="E291:P291" si="177">SUM(E272:E290)</f>
        <v>1114</v>
      </c>
      <c r="F291" s="328">
        <f t="shared" si="177"/>
        <v>1076</v>
      </c>
      <c r="G291" s="328">
        <f t="shared" si="177"/>
        <v>1181</v>
      </c>
      <c r="H291" s="328">
        <f t="shared" si="177"/>
        <v>1266</v>
      </c>
      <c r="I291" s="328">
        <f t="shared" si="177"/>
        <v>1209</v>
      </c>
      <c r="J291" s="328">
        <f t="shared" si="177"/>
        <v>1405</v>
      </c>
      <c r="K291" s="328">
        <f t="shared" si="177"/>
        <v>1544</v>
      </c>
      <c r="L291" s="328">
        <f t="shared" si="177"/>
        <v>2020</v>
      </c>
      <c r="M291" s="328">
        <f t="shared" si="177"/>
        <v>1874</v>
      </c>
      <c r="N291" s="328">
        <f t="shared" si="177"/>
        <v>1514</v>
      </c>
      <c r="O291" s="328">
        <f t="shared" si="177"/>
        <v>1195</v>
      </c>
      <c r="P291" s="328">
        <f t="shared" si="177"/>
        <v>15782</v>
      </c>
    </row>
    <row r="292" spans="1:16">
      <c r="A292" s="212"/>
      <c r="B292" s="212"/>
      <c r="C292" s="212"/>
      <c r="D292" s="212"/>
      <c r="E292" s="212"/>
      <c r="F292" s="212"/>
      <c r="G292" s="212"/>
      <c r="H292" s="212"/>
      <c r="I292" s="212"/>
      <c r="J292" s="212"/>
      <c r="K292" s="212"/>
      <c r="L292" s="212"/>
      <c r="M292" s="212"/>
      <c r="N292" s="212"/>
      <c r="O292" s="212"/>
      <c r="P292" s="303"/>
    </row>
    <row r="293" spans="1:16">
      <c r="A293" s="212"/>
      <c r="B293" s="212"/>
      <c r="C293" s="237" t="s">
        <v>64</v>
      </c>
      <c r="D293" s="333">
        <f>D291*1000</f>
        <v>384000</v>
      </c>
      <c r="E293" s="333">
        <f t="shared" ref="E293:P293" si="178">E291*1000</f>
        <v>1114000</v>
      </c>
      <c r="F293" s="333">
        <f t="shared" si="178"/>
        <v>1076000</v>
      </c>
      <c r="G293" s="333">
        <f t="shared" si="178"/>
        <v>1181000</v>
      </c>
      <c r="H293" s="333">
        <f t="shared" si="178"/>
        <v>1266000</v>
      </c>
      <c r="I293" s="333">
        <f t="shared" si="178"/>
        <v>1209000</v>
      </c>
      <c r="J293" s="333">
        <f t="shared" si="178"/>
        <v>1405000</v>
      </c>
      <c r="K293" s="333">
        <f t="shared" si="178"/>
        <v>1544000</v>
      </c>
      <c r="L293" s="333">
        <f t="shared" si="178"/>
        <v>2020000</v>
      </c>
      <c r="M293" s="333">
        <f t="shared" si="178"/>
        <v>1874000</v>
      </c>
      <c r="N293" s="333">
        <f t="shared" si="178"/>
        <v>1514000</v>
      </c>
      <c r="O293" s="333">
        <f t="shared" si="178"/>
        <v>1195000</v>
      </c>
      <c r="P293" s="333">
        <f t="shared" si="178"/>
        <v>15782000</v>
      </c>
    </row>
    <row r="296" spans="1:16">
      <c r="A296" s="238" t="s">
        <v>73</v>
      </c>
      <c r="B296" s="212"/>
      <c r="C296" s="212"/>
      <c r="D296" s="212"/>
      <c r="E296" s="212"/>
      <c r="F296" s="212"/>
      <c r="G296" s="212"/>
      <c r="H296" s="212"/>
      <c r="I296" s="212"/>
      <c r="J296" s="212"/>
      <c r="K296" s="212"/>
      <c r="L296" s="212"/>
      <c r="M296" s="212"/>
      <c r="N296" s="212"/>
      <c r="O296" s="212"/>
      <c r="P296" s="212"/>
    </row>
    <row r="297" spans="1:16" ht="15.75" thickBot="1">
      <c r="A297" s="239" t="s">
        <v>30</v>
      </c>
      <c r="B297" s="215" t="s">
        <v>31</v>
      </c>
      <c r="C297" s="216" t="s">
        <v>32</v>
      </c>
      <c r="D297" s="217" t="s">
        <v>33</v>
      </c>
      <c r="E297" s="218" t="s">
        <v>34</v>
      </c>
      <c r="F297" s="219" t="s">
        <v>35</v>
      </c>
      <c r="G297" s="219" t="s">
        <v>36</v>
      </c>
      <c r="H297" s="219" t="s">
        <v>37</v>
      </c>
      <c r="I297" s="219" t="s">
        <v>38</v>
      </c>
      <c r="J297" s="219" t="s">
        <v>39</v>
      </c>
      <c r="K297" s="219" t="s">
        <v>40</v>
      </c>
      <c r="L297" s="219" t="s">
        <v>41</v>
      </c>
      <c r="M297" s="219" t="s">
        <v>42</v>
      </c>
      <c r="N297" s="219" t="s">
        <v>43</v>
      </c>
      <c r="O297" s="219" t="s">
        <v>44</v>
      </c>
      <c r="P297" s="212"/>
    </row>
    <row r="298" spans="1:16">
      <c r="A298" s="212"/>
      <c r="B298" s="220">
        <v>7534810685</v>
      </c>
      <c r="C298" s="223" t="s">
        <v>45</v>
      </c>
      <c r="D298" s="209">
        <f>(D272*1000)/31</f>
        <v>354.83870967741933</v>
      </c>
      <c r="E298" s="209">
        <f>(E272*1000)/28</f>
        <v>642.85714285714289</v>
      </c>
      <c r="F298" s="209">
        <f>(F272*1000)/31</f>
        <v>645.16129032258061</v>
      </c>
      <c r="G298" s="209">
        <f>(G272*1000)/30</f>
        <v>633.33333333333337</v>
      </c>
      <c r="H298" s="209">
        <f>(H272*1000)/31</f>
        <v>451.61290322580646</v>
      </c>
      <c r="I298" s="209">
        <f>(I272*1000)/30</f>
        <v>500</v>
      </c>
      <c r="J298" s="209">
        <f>(J272*1000)/31</f>
        <v>354.83870967741933</v>
      </c>
      <c r="K298" s="209">
        <f>(K272*1000)/31</f>
        <v>354.83870967741933</v>
      </c>
      <c r="L298" s="209">
        <f>(L272*1000)/30</f>
        <v>533.33333333333337</v>
      </c>
      <c r="M298" s="209">
        <f>(M272*1000)/31</f>
        <v>322.58064516129031</v>
      </c>
      <c r="N298" s="209">
        <f>(N272*1000)/30</f>
        <v>300</v>
      </c>
      <c r="O298" s="209">
        <f>(O272*1000)/31</f>
        <v>258.06451612903226</v>
      </c>
      <c r="P298" s="212"/>
    </row>
    <row r="299" spans="1:16">
      <c r="A299" s="212"/>
      <c r="B299" s="220">
        <v>4366050935</v>
      </c>
      <c r="C299" s="223" t="s">
        <v>46</v>
      </c>
      <c r="D299" s="209">
        <f t="shared" ref="D299:D316" si="179">(D273*1000)/31</f>
        <v>96.774193548387103</v>
      </c>
      <c r="E299" s="209">
        <f t="shared" ref="E299:E316" si="180">(E273*1000)/28</f>
        <v>821.42857142857144</v>
      </c>
      <c r="F299" s="209">
        <f t="shared" ref="F299:F316" si="181">(F273*1000)/31</f>
        <v>774.19354838709683</v>
      </c>
      <c r="G299" s="209">
        <f t="shared" ref="G299:G316" si="182">(G273*1000)/30</f>
        <v>766.66666666666663</v>
      </c>
      <c r="H299" s="209">
        <f t="shared" ref="H299:H316" si="183">(H273*1000)/31</f>
        <v>774.19354838709683</v>
      </c>
      <c r="I299" s="209">
        <f t="shared" ref="I299:I316" si="184">(I273*1000)/30</f>
        <v>566.66666666666663</v>
      </c>
      <c r="J299" s="209">
        <f t="shared" ref="J299:K299" si="185">(J273*1000)/31</f>
        <v>1161.2903225806451</v>
      </c>
      <c r="K299" s="209">
        <f t="shared" si="185"/>
        <v>483.87096774193549</v>
      </c>
      <c r="L299" s="209">
        <f t="shared" ref="L299:L316" si="186">(L273*1000)/30</f>
        <v>1566.6666666666667</v>
      </c>
      <c r="M299" s="209">
        <f t="shared" ref="M299:M316" si="187">(M273*1000)/31</f>
        <v>1516.1290322580646</v>
      </c>
      <c r="N299" s="209">
        <f t="shared" ref="N299:N316" si="188">(N273*1000)/30</f>
        <v>1600</v>
      </c>
      <c r="O299" s="209">
        <f t="shared" ref="O299:O316" si="189">(O273*1000)/31</f>
        <v>3483.8709677419356</v>
      </c>
      <c r="P299" s="212"/>
    </row>
    <row r="300" spans="1:16">
      <c r="A300" s="212"/>
      <c r="B300" s="220">
        <v>6366050937</v>
      </c>
      <c r="C300" s="223" t="s">
        <v>47</v>
      </c>
      <c r="D300" s="209">
        <f t="shared" si="179"/>
        <v>0</v>
      </c>
      <c r="E300" s="209">
        <f t="shared" si="180"/>
        <v>428.57142857142856</v>
      </c>
      <c r="F300" s="209">
        <f t="shared" si="181"/>
        <v>419.35483870967744</v>
      </c>
      <c r="G300" s="209">
        <f t="shared" si="182"/>
        <v>433.33333333333331</v>
      </c>
      <c r="H300" s="209">
        <f t="shared" si="183"/>
        <v>419.35483870967744</v>
      </c>
      <c r="I300" s="209">
        <f t="shared" si="184"/>
        <v>2133.3333333333335</v>
      </c>
      <c r="J300" s="209">
        <f t="shared" ref="J300:K300" si="190">(J274*1000)/31</f>
        <v>0</v>
      </c>
      <c r="K300" s="209">
        <f t="shared" si="190"/>
        <v>32.258064516129032</v>
      </c>
      <c r="L300" s="209">
        <f t="shared" si="186"/>
        <v>500</v>
      </c>
      <c r="M300" s="209">
        <f t="shared" si="187"/>
        <v>1548.3870967741937</v>
      </c>
      <c r="N300" s="209">
        <f t="shared" si="188"/>
        <v>733.33333333333337</v>
      </c>
      <c r="O300" s="209">
        <f t="shared" si="189"/>
        <v>645.16129032258061</v>
      </c>
      <c r="P300" s="212"/>
    </row>
    <row r="301" spans="1:16">
      <c r="A301" s="212"/>
      <c r="B301" s="220">
        <v>7366050938</v>
      </c>
      <c r="C301" s="223" t="s">
        <v>48</v>
      </c>
      <c r="D301" s="209">
        <f t="shared" si="179"/>
        <v>516.12903225806451</v>
      </c>
      <c r="E301" s="209">
        <f t="shared" si="180"/>
        <v>1035.7142857142858</v>
      </c>
      <c r="F301" s="209">
        <f t="shared" si="181"/>
        <v>838.70967741935488</v>
      </c>
      <c r="G301" s="209">
        <f t="shared" si="182"/>
        <v>1400</v>
      </c>
      <c r="H301" s="209">
        <f t="shared" si="183"/>
        <v>1806.4516129032259</v>
      </c>
      <c r="I301" s="209">
        <f t="shared" si="184"/>
        <v>433.33333333333331</v>
      </c>
      <c r="J301" s="209">
        <f t="shared" ref="J301:K301" si="191">(J275*1000)/31</f>
        <v>612.90322580645159</v>
      </c>
      <c r="K301" s="209">
        <f t="shared" si="191"/>
        <v>1290.3225806451612</v>
      </c>
      <c r="L301" s="209">
        <f t="shared" si="186"/>
        <v>1333.3333333333333</v>
      </c>
      <c r="M301" s="209">
        <f t="shared" si="187"/>
        <v>806.45161290322585</v>
      </c>
      <c r="N301" s="209">
        <f t="shared" si="188"/>
        <v>1200</v>
      </c>
      <c r="O301" s="209">
        <f t="shared" si="189"/>
        <v>1322.5806451612902</v>
      </c>
      <c r="P301" s="212"/>
    </row>
    <row r="302" spans="1:16">
      <c r="A302" s="212"/>
      <c r="B302" s="220">
        <v>3366050934</v>
      </c>
      <c r="C302" s="223" t="s">
        <v>49</v>
      </c>
      <c r="D302" s="209">
        <f t="shared" si="179"/>
        <v>1193.5483870967741</v>
      </c>
      <c r="E302" s="209">
        <f t="shared" si="180"/>
        <v>3500</v>
      </c>
      <c r="F302" s="209">
        <f t="shared" si="181"/>
        <v>2580.6451612903224</v>
      </c>
      <c r="G302" s="209">
        <f t="shared" si="182"/>
        <v>2900</v>
      </c>
      <c r="H302" s="209">
        <f t="shared" si="183"/>
        <v>2516.1290322580644</v>
      </c>
      <c r="I302" s="209">
        <f t="shared" si="184"/>
        <v>766.66666666666663</v>
      </c>
      <c r="J302" s="209">
        <f t="shared" ref="J302:K302" si="192">(J276*1000)/31</f>
        <v>483.87096774193549</v>
      </c>
      <c r="K302" s="209">
        <f t="shared" si="192"/>
        <v>580.64516129032256</v>
      </c>
      <c r="L302" s="209">
        <f t="shared" si="186"/>
        <v>2100</v>
      </c>
      <c r="M302" s="209">
        <f t="shared" si="187"/>
        <v>3193.5483870967741</v>
      </c>
      <c r="N302" s="209">
        <f t="shared" si="188"/>
        <v>7200</v>
      </c>
      <c r="O302" s="209">
        <f t="shared" si="189"/>
        <v>3096.7741935483873</v>
      </c>
      <c r="P302" s="212"/>
    </row>
    <row r="303" spans="1:16">
      <c r="B303" s="221">
        <v>5581150299</v>
      </c>
      <c r="C303" s="223" t="s">
        <v>50</v>
      </c>
      <c r="D303" s="209">
        <f t="shared" si="179"/>
        <v>225.80645161290323</v>
      </c>
      <c r="E303" s="209">
        <f t="shared" si="180"/>
        <v>6642.8571428571431</v>
      </c>
      <c r="F303" s="209">
        <f t="shared" si="181"/>
        <v>6645.1612903225805</v>
      </c>
      <c r="G303" s="209">
        <f t="shared" si="182"/>
        <v>9266.6666666666661</v>
      </c>
      <c r="H303" s="209">
        <f t="shared" si="183"/>
        <v>7193.5483870967746</v>
      </c>
      <c r="I303" s="209">
        <f t="shared" si="184"/>
        <v>4266.666666666667</v>
      </c>
      <c r="J303" s="209">
        <f t="shared" ref="J303:K303" si="193">(J277*1000)/31</f>
        <v>2064.516129032258</v>
      </c>
      <c r="K303" s="209">
        <f t="shared" si="193"/>
        <v>322.58064516129031</v>
      </c>
      <c r="L303" s="209">
        <f t="shared" si="186"/>
        <v>4066.6666666666665</v>
      </c>
      <c r="M303" s="209">
        <f t="shared" si="187"/>
        <v>4645.1612903225805</v>
      </c>
      <c r="N303" s="209">
        <f t="shared" si="188"/>
        <v>5100</v>
      </c>
      <c r="O303" s="209">
        <f t="shared" si="189"/>
        <v>4483.8709677419356</v>
      </c>
    </row>
    <row r="304" spans="1:16">
      <c r="B304" s="221">
        <v>5366050936</v>
      </c>
      <c r="C304" s="223" t="s">
        <v>51</v>
      </c>
      <c r="D304" s="209">
        <f t="shared" si="179"/>
        <v>225.80645161290323</v>
      </c>
      <c r="E304" s="209">
        <f t="shared" si="180"/>
        <v>1285.7142857142858</v>
      </c>
      <c r="F304" s="209">
        <f t="shared" si="181"/>
        <v>1193.5483870967741</v>
      </c>
      <c r="G304" s="209">
        <f t="shared" si="182"/>
        <v>1133.3333333333333</v>
      </c>
      <c r="H304" s="209">
        <f t="shared" si="183"/>
        <v>1258.0645161290322</v>
      </c>
      <c r="I304" s="209">
        <f t="shared" si="184"/>
        <v>366.66666666666669</v>
      </c>
      <c r="J304" s="209">
        <f t="shared" ref="J304:K304" si="194">(J278*1000)/31</f>
        <v>483.87096774193549</v>
      </c>
      <c r="K304" s="209">
        <f t="shared" si="194"/>
        <v>1967.741935483871</v>
      </c>
      <c r="L304" s="209">
        <f t="shared" si="186"/>
        <v>2733.3333333333335</v>
      </c>
      <c r="M304" s="209">
        <f t="shared" si="187"/>
        <v>967.74193548387098</v>
      </c>
      <c r="N304" s="209">
        <f t="shared" si="188"/>
        <v>3000</v>
      </c>
      <c r="O304" s="209">
        <f t="shared" si="189"/>
        <v>4903.2258064516127</v>
      </c>
    </row>
    <row r="305" spans="2:15">
      <c r="B305" s="221">
        <v>2052150585</v>
      </c>
      <c r="C305" s="223" t="s">
        <v>52</v>
      </c>
      <c r="D305" s="209">
        <f t="shared" si="179"/>
        <v>3935.483870967742</v>
      </c>
      <c r="E305" s="209">
        <f t="shared" si="180"/>
        <v>7714.2857142857147</v>
      </c>
      <c r="F305" s="209">
        <f t="shared" si="181"/>
        <v>5032.2580645161288</v>
      </c>
      <c r="G305" s="209">
        <f t="shared" si="182"/>
        <v>5500</v>
      </c>
      <c r="H305" s="209">
        <f t="shared" si="183"/>
        <v>7096.7741935483873</v>
      </c>
      <c r="I305" s="209">
        <f t="shared" si="184"/>
        <v>9400</v>
      </c>
      <c r="J305" s="209">
        <f t="shared" ref="J305:K305" si="195">(J279*1000)/31</f>
        <v>13516.129032258064</v>
      </c>
      <c r="K305" s="209">
        <f t="shared" si="195"/>
        <v>13000</v>
      </c>
      <c r="L305" s="209">
        <f t="shared" si="186"/>
        <v>14600</v>
      </c>
      <c r="M305" s="209">
        <f t="shared" si="187"/>
        <v>12354.838709677419</v>
      </c>
      <c r="N305" s="209">
        <f t="shared" si="188"/>
        <v>6433.333333333333</v>
      </c>
      <c r="O305" s="209">
        <f t="shared" si="189"/>
        <v>3612.9032258064517</v>
      </c>
    </row>
    <row r="306" spans="2:15">
      <c r="B306" s="221">
        <v>8635150066</v>
      </c>
      <c r="C306" s="223" t="s">
        <v>53</v>
      </c>
      <c r="D306" s="209">
        <f t="shared" si="179"/>
        <v>96.774193548387103</v>
      </c>
      <c r="E306" s="209">
        <f t="shared" si="180"/>
        <v>607.14285714285711</v>
      </c>
      <c r="F306" s="209">
        <f t="shared" si="181"/>
        <v>225.80645161290323</v>
      </c>
      <c r="G306" s="209">
        <f t="shared" si="182"/>
        <v>133.33333333333334</v>
      </c>
      <c r="H306" s="209">
        <f t="shared" si="183"/>
        <v>129.03225806451613</v>
      </c>
      <c r="I306" s="209">
        <f t="shared" si="184"/>
        <v>0</v>
      </c>
      <c r="J306" s="209">
        <f t="shared" ref="J306:K306" si="196">(J280*1000)/31</f>
        <v>64.516129032258064</v>
      </c>
      <c r="K306" s="209">
        <f t="shared" si="196"/>
        <v>32.258064516129032</v>
      </c>
      <c r="L306" s="209">
        <f t="shared" si="186"/>
        <v>100</v>
      </c>
      <c r="M306" s="209">
        <f t="shared" si="187"/>
        <v>225.80645161290323</v>
      </c>
      <c r="N306" s="209">
        <f t="shared" si="188"/>
        <v>300</v>
      </c>
      <c r="O306" s="209">
        <f t="shared" si="189"/>
        <v>225.80645161290323</v>
      </c>
    </row>
    <row r="307" spans="2:15">
      <c r="B307" s="222">
        <v>6663150208</v>
      </c>
      <c r="C307" s="223" t="s">
        <v>54</v>
      </c>
      <c r="D307" s="209">
        <f t="shared" si="179"/>
        <v>129.03225806451613</v>
      </c>
      <c r="E307" s="209">
        <f t="shared" si="180"/>
        <v>464.28571428571428</v>
      </c>
      <c r="F307" s="209">
        <f t="shared" si="181"/>
        <v>483.87096774193549</v>
      </c>
      <c r="G307" s="209">
        <f t="shared" si="182"/>
        <v>500</v>
      </c>
      <c r="H307" s="209">
        <f t="shared" si="183"/>
        <v>677.41935483870964</v>
      </c>
      <c r="I307" s="209">
        <f t="shared" si="184"/>
        <v>266.66666666666669</v>
      </c>
      <c r="J307" s="209">
        <f t="shared" ref="J307:K307" si="197">(J281*1000)/31</f>
        <v>193.54838709677421</v>
      </c>
      <c r="K307" s="209">
        <f t="shared" si="197"/>
        <v>258.06451612903226</v>
      </c>
      <c r="L307" s="209">
        <f t="shared" si="186"/>
        <v>466.66666666666669</v>
      </c>
      <c r="M307" s="209">
        <f t="shared" si="187"/>
        <v>870.9677419354839</v>
      </c>
      <c r="N307" s="209">
        <f t="shared" si="188"/>
        <v>733.33333333333337</v>
      </c>
      <c r="O307" s="209">
        <f t="shared" si="189"/>
        <v>580.64516129032256</v>
      </c>
    </row>
    <row r="308" spans="2:15">
      <c r="B308" s="221">
        <v>6068150813</v>
      </c>
      <c r="C308" s="223" t="s">
        <v>55</v>
      </c>
      <c r="D308" s="209">
        <f t="shared" si="179"/>
        <v>1032.258064516129</v>
      </c>
      <c r="E308" s="209">
        <f t="shared" si="180"/>
        <v>928.57142857142856</v>
      </c>
      <c r="F308" s="209">
        <f t="shared" si="181"/>
        <v>612.90322580645159</v>
      </c>
      <c r="G308" s="209">
        <f t="shared" si="182"/>
        <v>633.33333333333337</v>
      </c>
      <c r="H308" s="209">
        <f t="shared" si="183"/>
        <v>1774.1935483870968</v>
      </c>
      <c r="I308" s="209">
        <f t="shared" si="184"/>
        <v>5866.666666666667</v>
      </c>
      <c r="J308" s="209">
        <f t="shared" ref="J308:K308" si="198">(J282*1000)/31</f>
        <v>8677.4193548387102</v>
      </c>
      <c r="K308" s="209">
        <f t="shared" si="198"/>
        <v>7032.2580645161288</v>
      </c>
      <c r="L308" s="209">
        <f t="shared" si="186"/>
        <v>8500</v>
      </c>
      <c r="M308" s="209">
        <f t="shared" si="187"/>
        <v>5580.6451612903229</v>
      </c>
      <c r="N308" s="209">
        <f t="shared" si="188"/>
        <v>2566.6666666666665</v>
      </c>
      <c r="O308" s="209">
        <f t="shared" si="189"/>
        <v>483.87096774193549</v>
      </c>
    </row>
    <row r="309" spans="2:15">
      <c r="B309" s="222">
        <v>5068150812</v>
      </c>
      <c r="C309" s="223" t="s">
        <v>56</v>
      </c>
      <c r="D309" s="209">
        <f t="shared" si="179"/>
        <v>161.29032258064515</v>
      </c>
      <c r="E309" s="209">
        <f t="shared" si="180"/>
        <v>428.57142857142856</v>
      </c>
      <c r="F309" s="209">
        <f t="shared" si="181"/>
        <v>387.09677419354841</v>
      </c>
      <c r="G309" s="209">
        <f t="shared" si="182"/>
        <v>400</v>
      </c>
      <c r="H309" s="209">
        <f t="shared" si="183"/>
        <v>387.09677419354841</v>
      </c>
      <c r="I309" s="209">
        <f t="shared" si="184"/>
        <v>200</v>
      </c>
      <c r="J309" s="209">
        <f t="shared" ref="J309:K309" si="199">(J283*1000)/31</f>
        <v>129.03225806451613</v>
      </c>
      <c r="K309" s="209">
        <f t="shared" si="199"/>
        <v>193.54838709677421</v>
      </c>
      <c r="L309" s="209">
        <f t="shared" si="186"/>
        <v>233.33333333333334</v>
      </c>
      <c r="M309" s="209">
        <f t="shared" si="187"/>
        <v>290.32258064516128</v>
      </c>
      <c r="N309" s="209">
        <f t="shared" si="188"/>
        <v>700</v>
      </c>
      <c r="O309" s="209">
        <f t="shared" si="189"/>
        <v>290.32258064516128</v>
      </c>
    </row>
    <row r="310" spans="2:15">
      <c r="B310" s="222">
        <v>2364150700</v>
      </c>
      <c r="C310" s="223" t="s">
        <v>57</v>
      </c>
      <c r="D310" s="209">
        <f t="shared" si="179"/>
        <v>612.90322580645159</v>
      </c>
      <c r="E310" s="209">
        <f t="shared" si="180"/>
        <v>1428.5714285714287</v>
      </c>
      <c r="F310" s="209">
        <f t="shared" si="181"/>
        <v>1645.1612903225807</v>
      </c>
      <c r="G310" s="209">
        <f t="shared" si="182"/>
        <v>966.66666666666663</v>
      </c>
      <c r="H310" s="209">
        <f t="shared" si="183"/>
        <v>967.74193548387098</v>
      </c>
      <c r="I310" s="209">
        <f t="shared" si="184"/>
        <v>1233.3333333333333</v>
      </c>
      <c r="J310" s="209">
        <f t="shared" ref="J310:K310" si="200">(J284*1000)/31</f>
        <v>1032.258064516129</v>
      </c>
      <c r="K310" s="209">
        <f t="shared" si="200"/>
        <v>1161.2903225806451</v>
      </c>
      <c r="L310" s="209">
        <f t="shared" si="186"/>
        <v>1866.6666666666667</v>
      </c>
      <c r="M310" s="209">
        <f t="shared" si="187"/>
        <v>1903.2258064516129</v>
      </c>
      <c r="N310" s="209">
        <f t="shared" si="188"/>
        <v>1700</v>
      </c>
      <c r="O310" s="209">
        <f t="shared" si="189"/>
        <v>806.45161290322585</v>
      </c>
    </row>
    <row r="311" spans="2:15">
      <c r="B311" s="222">
        <v>1364150699</v>
      </c>
      <c r="C311" s="223" t="s">
        <v>58</v>
      </c>
      <c r="D311" s="209">
        <f t="shared" si="179"/>
        <v>290.32258064516128</v>
      </c>
      <c r="E311" s="209">
        <f t="shared" si="180"/>
        <v>2821.4285714285716</v>
      </c>
      <c r="F311" s="209">
        <f t="shared" si="181"/>
        <v>2387.0967741935483</v>
      </c>
      <c r="G311" s="209">
        <f t="shared" si="182"/>
        <v>3100</v>
      </c>
      <c r="H311" s="209">
        <f t="shared" si="183"/>
        <v>2677.4193548387098</v>
      </c>
      <c r="I311" s="209">
        <f t="shared" si="184"/>
        <v>366.66666666666669</v>
      </c>
      <c r="J311" s="209">
        <f t="shared" ref="J311:K311" si="201">(J285*1000)/31</f>
        <v>387.09677419354841</v>
      </c>
      <c r="K311" s="209">
        <f t="shared" si="201"/>
        <v>3064.516129032258</v>
      </c>
      <c r="L311" s="209">
        <f t="shared" si="186"/>
        <v>4300</v>
      </c>
      <c r="M311" s="209">
        <f t="shared" si="187"/>
        <v>4064.516129032258</v>
      </c>
      <c r="N311" s="209">
        <f t="shared" si="188"/>
        <v>2533.3333333333335</v>
      </c>
      <c r="O311" s="209">
        <f t="shared" si="189"/>
        <v>1645.1612903225807</v>
      </c>
    </row>
    <row r="312" spans="2:15">
      <c r="B312" s="221">
        <v>2068150809</v>
      </c>
      <c r="C312" s="223" t="s">
        <v>59</v>
      </c>
      <c r="D312" s="209">
        <f t="shared" si="179"/>
        <v>0</v>
      </c>
      <c r="E312" s="209">
        <f t="shared" si="180"/>
        <v>71.428571428571431</v>
      </c>
      <c r="F312" s="209">
        <f t="shared" si="181"/>
        <v>64.516129032258064</v>
      </c>
      <c r="G312" s="209">
        <f t="shared" si="182"/>
        <v>33.333333333333336</v>
      </c>
      <c r="H312" s="209">
        <f t="shared" si="183"/>
        <v>64.516129032258064</v>
      </c>
      <c r="I312" s="209">
        <f t="shared" si="184"/>
        <v>33.333333333333336</v>
      </c>
      <c r="J312" s="209">
        <f t="shared" ref="J312:K312" si="202">(J286*1000)/31</f>
        <v>32.258064516129032</v>
      </c>
      <c r="K312" s="209">
        <f t="shared" si="202"/>
        <v>32.258064516129032</v>
      </c>
      <c r="L312" s="209">
        <f t="shared" si="186"/>
        <v>33.333333333333336</v>
      </c>
      <c r="M312" s="209">
        <f t="shared" si="187"/>
        <v>64.516129032258064</v>
      </c>
      <c r="N312" s="209">
        <f t="shared" si="188"/>
        <v>33.333333333333336</v>
      </c>
      <c r="O312" s="209">
        <f t="shared" si="189"/>
        <v>32.258064516129032</v>
      </c>
    </row>
    <row r="313" spans="2:15">
      <c r="B313" s="221">
        <v>5756250297</v>
      </c>
      <c r="C313" s="223" t="s">
        <v>60</v>
      </c>
      <c r="D313" s="209">
        <f t="shared" si="179"/>
        <v>32.258064516129032</v>
      </c>
      <c r="E313" s="209">
        <f t="shared" si="180"/>
        <v>107.14285714285714</v>
      </c>
      <c r="F313" s="209">
        <f t="shared" si="181"/>
        <v>96.774193548387103</v>
      </c>
      <c r="G313" s="209">
        <f t="shared" si="182"/>
        <v>100</v>
      </c>
      <c r="H313" s="209">
        <f t="shared" si="183"/>
        <v>258.06451612903226</v>
      </c>
      <c r="I313" s="209">
        <f t="shared" si="184"/>
        <v>66.666666666666671</v>
      </c>
      <c r="J313" s="209">
        <f t="shared" ref="J313:K313" si="203">(J287*1000)/31</f>
        <v>161.29032258064515</v>
      </c>
      <c r="K313" s="209">
        <f t="shared" si="203"/>
        <v>96.774193548387103</v>
      </c>
      <c r="L313" s="209">
        <f t="shared" si="186"/>
        <v>100</v>
      </c>
      <c r="M313" s="209">
        <f t="shared" si="187"/>
        <v>96.774193548387103</v>
      </c>
      <c r="N313" s="209">
        <f t="shared" si="188"/>
        <v>100</v>
      </c>
      <c r="O313" s="209">
        <f t="shared" si="189"/>
        <v>96.774193548387103</v>
      </c>
    </row>
    <row r="314" spans="2:15">
      <c r="B314" s="222">
        <v>1665911804</v>
      </c>
      <c r="C314" s="223" t="s">
        <v>61</v>
      </c>
      <c r="D314" s="209">
        <f t="shared" si="179"/>
        <v>3032.2580645161293</v>
      </c>
      <c r="E314" s="209">
        <f t="shared" si="180"/>
        <v>9785.7142857142862</v>
      </c>
      <c r="F314" s="209">
        <f t="shared" si="181"/>
        <v>9709.677419354839</v>
      </c>
      <c r="G314" s="209">
        <f t="shared" si="182"/>
        <v>10500</v>
      </c>
      <c r="H314" s="209">
        <f t="shared" si="183"/>
        <v>11129.032258064517</v>
      </c>
      <c r="I314" s="209">
        <f t="shared" si="184"/>
        <v>12566.666666666666</v>
      </c>
      <c r="J314" s="209">
        <f t="shared" ref="J314:K314" si="204">(J288*1000)/31</f>
        <v>15322.58064516129</v>
      </c>
      <c r="K314" s="209">
        <f t="shared" si="204"/>
        <v>19193.548387096773</v>
      </c>
      <c r="L314" s="209">
        <f t="shared" si="186"/>
        <v>23366.666666666668</v>
      </c>
      <c r="M314" s="209">
        <f t="shared" si="187"/>
        <v>20967.741935483871</v>
      </c>
      <c r="N314" s="209">
        <f t="shared" si="188"/>
        <v>15233.333333333334</v>
      </c>
      <c r="O314" s="209">
        <f t="shared" si="189"/>
        <v>11806.451612903225</v>
      </c>
    </row>
    <row r="315" spans="2:15">
      <c r="B315" s="222">
        <v>3054467971</v>
      </c>
      <c r="C315" s="223" t="s">
        <v>62</v>
      </c>
      <c r="D315" s="209">
        <f t="shared" si="179"/>
        <v>451.61290322580646</v>
      </c>
      <c r="E315" s="209">
        <f t="shared" si="180"/>
        <v>1035.7142857142858</v>
      </c>
      <c r="F315" s="209">
        <f t="shared" si="181"/>
        <v>935.48387096774195</v>
      </c>
      <c r="G315" s="209">
        <f t="shared" si="182"/>
        <v>966.66666666666663</v>
      </c>
      <c r="H315" s="209">
        <f t="shared" si="183"/>
        <v>1225.8064516129032</v>
      </c>
      <c r="I315" s="209">
        <f t="shared" si="184"/>
        <v>1233.3333333333333</v>
      </c>
      <c r="J315" s="209">
        <f t="shared" ref="J315:K315" si="205">(J289*1000)/31</f>
        <v>612.90322580645159</v>
      </c>
      <c r="K315" s="209">
        <f t="shared" si="205"/>
        <v>677.41935483870964</v>
      </c>
      <c r="L315" s="209">
        <f t="shared" si="186"/>
        <v>933.33333333333337</v>
      </c>
      <c r="M315" s="209">
        <f t="shared" si="187"/>
        <v>967.74193548387098</v>
      </c>
      <c r="N315" s="209">
        <f t="shared" si="188"/>
        <v>966.66666666666663</v>
      </c>
      <c r="O315" s="209">
        <f t="shared" si="189"/>
        <v>741.93548387096769</v>
      </c>
    </row>
    <row r="316" spans="2:15">
      <c r="B316" s="222">
        <v>3380811569</v>
      </c>
      <c r="C316" s="223" t="s">
        <v>63</v>
      </c>
      <c r="D316" s="209">
        <f t="shared" si="179"/>
        <v>0</v>
      </c>
      <c r="E316" s="209">
        <f t="shared" si="180"/>
        <v>35.714285714285715</v>
      </c>
      <c r="F316" s="209">
        <f t="shared" si="181"/>
        <v>32.258064516129032</v>
      </c>
      <c r="G316" s="209">
        <f t="shared" si="182"/>
        <v>0</v>
      </c>
      <c r="H316" s="209">
        <f t="shared" si="183"/>
        <v>32.258064516129032</v>
      </c>
      <c r="I316" s="209">
        <f t="shared" si="184"/>
        <v>33.333333333333336</v>
      </c>
      <c r="J316" s="209">
        <f t="shared" ref="J316:K316" si="206">(J290*1000)/31</f>
        <v>32.258064516129032</v>
      </c>
      <c r="K316" s="209">
        <f t="shared" si="206"/>
        <v>32.258064516129032</v>
      </c>
      <c r="L316" s="209">
        <f t="shared" si="186"/>
        <v>0</v>
      </c>
      <c r="M316" s="209">
        <f t="shared" si="187"/>
        <v>64.516129032258064</v>
      </c>
      <c r="N316" s="209">
        <f t="shared" si="188"/>
        <v>33.333333333333336</v>
      </c>
      <c r="O316" s="209">
        <f t="shared" si="189"/>
        <v>32.258064516129032</v>
      </c>
    </row>
    <row r="317" spans="2:15">
      <c r="B317" s="212"/>
      <c r="C317" s="212"/>
      <c r="D317" s="214">
        <f>SUM(D298:D316)</f>
        <v>12387.096774193547</v>
      </c>
      <c r="E317" s="327">
        <f t="shared" ref="E317:O317" si="207">SUM(E298:E316)</f>
        <v>39785.714285714283</v>
      </c>
      <c r="F317" s="327">
        <f t="shared" si="207"/>
        <v>34709.677419354834</v>
      </c>
      <c r="G317" s="327">
        <f t="shared" si="207"/>
        <v>39366.666666666664</v>
      </c>
      <c r="H317" s="327">
        <f t="shared" si="207"/>
        <v>40838.709677419356</v>
      </c>
      <c r="I317" s="327">
        <f t="shared" si="207"/>
        <v>40300.000000000007</v>
      </c>
      <c r="J317" s="327">
        <f t="shared" si="207"/>
        <v>45322.580645161295</v>
      </c>
      <c r="K317" s="327">
        <f t="shared" si="207"/>
        <v>49806.45161290322</v>
      </c>
      <c r="L317" s="327">
        <f t="shared" si="207"/>
        <v>67333.333333333328</v>
      </c>
      <c r="M317" s="327">
        <f t="shared" si="207"/>
        <v>60451.612903225803</v>
      </c>
      <c r="N317" s="327">
        <f t="shared" si="207"/>
        <v>50466.666666666672</v>
      </c>
      <c r="O317" s="327">
        <f t="shared" si="207"/>
        <v>38548.387096774197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Metro Report v Meter</vt:lpstr>
      <vt:lpstr>Regis Overall</vt:lpstr>
      <vt:lpstr>Daily</vt:lpstr>
      <vt:lpstr>'Metro Report v Meter'!Print_Area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Berkeley Main</cp:lastModifiedBy>
  <cp:lastPrinted>2025-07-01T20:04:49Z</cp:lastPrinted>
  <dcterms:created xsi:type="dcterms:W3CDTF">2025-05-01T16:15:37Z</dcterms:created>
  <dcterms:modified xsi:type="dcterms:W3CDTF">2025-07-07T20:37:10Z</dcterms:modified>
</cp:coreProperties>
</file>