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8455" windowHeight="12255" tabRatio="884" activeTab="1"/>
  </bookViews>
  <sheets>
    <sheet name="Flows &amp; Loadings Calculation" sheetId="29" r:id="rId1"/>
    <sheet name="Corrected Flows &amp; Loadings" sheetId="28" r:id="rId2"/>
    <sheet name="Unit Charges" sheetId="32" r:id="rId3"/>
    <sheet name="Regis" sheetId="23" r:id="rId4"/>
    <sheet name="Regis Daily" sheetId="31" r:id="rId5"/>
  </sheets>
  <calcPr calcId="124519"/>
</workbook>
</file>

<file path=xl/calcChain.xml><?xml version="1.0" encoding="utf-8"?>
<calcChain xmlns="http://schemas.openxmlformats.org/spreadsheetml/2006/main">
  <c r="AB64" i="28"/>
  <c r="AA64"/>
  <c r="Z64"/>
  <c r="Y64"/>
  <c r="AB67"/>
  <c r="Y63"/>
  <c r="Y52"/>
  <c r="AA50"/>
  <c r="Y42"/>
  <c r="Y41"/>
  <c r="AB39"/>
  <c r="Y29"/>
  <c r="AB33"/>
  <c r="Y17"/>
  <c r="P31"/>
  <c r="R31" s="1"/>
  <c r="W31" s="1"/>
  <c r="AB32" s="1"/>
  <c r="O31"/>
  <c r="T31" s="1"/>
  <c r="Y32" s="1"/>
  <c r="P32"/>
  <c r="R32" s="1"/>
  <c r="W32" s="1"/>
  <c r="O32"/>
  <c r="E68"/>
  <c r="E56"/>
  <c r="E45"/>
  <c r="E34"/>
  <c r="E22"/>
  <c r="E11"/>
  <c r="O67"/>
  <c r="T67" s="1"/>
  <c r="O66"/>
  <c r="T66" s="1"/>
  <c r="Y67" s="1"/>
  <c r="O65"/>
  <c r="T65" s="1"/>
  <c r="Y66" s="1"/>
  <c r="O64"/>
  <c r="T64" s="1"/>
  <c r="Y65" s="1"/>
  <c r="O63"/>
  <c r="T63" s="1"/>
  <c r="O62"/>
  <c r="T62" s="1"/>
  <c r="Y62" s="1"/>
  <c r="O61"/>
  <c r="T61" s="1"/>
  <c r="Y61" s="1"/>
  <c r="O55"/>
  <c r="T55" s="1"/>
  <c r="Y55" s="1"/>
  <c r="O54"/>
  <c r="T54" s="1"/>
  <c r="Y54" s="1"/>
  <c r="O53"/>
  <c r="O52"/>
  <c r="T52" s="1"/>
  <c r="O51"/>
  <c r="T51" s="1"/>
  <c r="Y51" s="1"/>
  <c r="O50"/>
  <c r="T50" s="1"/>
  <c r="Y50" s="1"/>
  <c r="O44"/>
  <c r="T44" s="1"/>
  <c r="Y44" s="1"/>
  <c r="O43"/>
  <c r="T43" s="1"/>
  <c r="Y43" s="1"/>
  <c r="O42"/>
  <c r="T42" s="1"/>
  <c r="O41"/>
  <c r="T41" s="1"/>
  <c r="O40"/>
  <c r="T40" s="1"/>
  <c r="Y40" s="1"/>
  <c r="O39"/>
  <c r="O33"/>
  <c r="T33" s="1"/>
  <c r="O30"/>
  <c r="T30" s="1"/>
  <c r="Y31" s="1"/>
  <c r="O29"/>
  <c r="T29" s="1"/>
  <c r="Y30" s="1"/>
  <c r="O28"/>
  <c r="T28" s="1"/>
  <c r="Y28" s="1"/>
  <c r="O27"/>
  <c r="T27" s="1"/>
  <c r="Y27" s="1"/>
  <c r="O21"/>
  <c r="T21" s="1"/>
  <c r="Y21" s="1"/>
  <c r="O20"/>
  <c r="T20" s="1"/>
  <c r="Y20" s="1"/>
  <c r="O19"/>
  <c r="T19" s="1"/>
  <c r="Y19" s="1"/>
  <c r="O18"/>
  <c r="T18" s="1"/>
  <c r="Y18" s="1"/>
  <c r="O17"/>
  <c r="T17" s="1"/>
  <c r="O16"/>
  <c r="T16" s="1"/>
  <c r="Y16" s="1"/>
  <c r="O10"/>
  <c r="T10" s="1"/>
  <c r="Y10" s="1"/>
  <c r="O9"/>
  <c r="T9" s="1"/>
  <c r="Y9" s="1"/>
  <c r="O8"/>
  <c r="T8" s="1"/>
  <c r="Y8" s="1"/>
  <c r="O7"/>
  <c r="T7" s="1"/>
  <c r="Y7" s="1"/>
  <c r="O6"/>
  <c r="T6" s="1"/>
  <c r="Y6" s="1"/>
  <c r="O5"/>
  <c r="T5" s="1"/>
  <c r="Y5" s="1"/>
  <c r="Q53" i="29"/>
  <c r="N68" i="28"/>
  <c r="N56"/>
  <c r="N45"/>
  <c r="N34"/>
  <c r="N22"/>
  <c r="P6"/>
  <c r="S6" s="1"/>
  <c r="P5"/>
  <c r="R5" s="1"/>
  <c r="W5" s="1"/>
  <c r="AB5" s="1"/>
  <c r="N11"/>
  <c r="P67"/>
  <c r="S67" s="1"/>
  <c r="P66"/>
  <c r="R66" s="1"/>
  <c r="W66" s="1"/>
  <c r="P65"/>
  <c r="R65" s="1"/>
  <c r="W65" s="1"/>
  <c r="AB66" s="1"/>
  <c r="P64"/>
  <c r="Q64" s="1"/>
  <c r="V64" s="1"/>
  <c r="AA65" s="1"/>
  <c r="P63"/>
  <c r="R63" s="1"/>
  <c r="W63" s="1"/>
  <c r="AB63" s="1"/>
  <c r="P62"/>
  <c r="R62" s="1"/>
  <c r="W62" s="1"/>
  <c r="AB62" s="1"/>
  <c r="P61"/>
  <c r="R61" s="1"/>
  <c r="W61" s="1"/>
  <c r="AB61" s="1"/>
  <c r="P55"/>
  <c r="Q55" s="1"/>
  <c r="V55" s="1"/>
  <c r="AA55" s="1"/>
  <c r="P54"/>
  <c r="R54" s="1"/>
  <c r="W54" s="1"/>
  <c r="AB54" s="1"/>
  <c r="P53"/>
  <c r="Q53" s="1"/>
  <c r="V53" s="1"/>
  <c r="AA53" s="1"/>
  <c r="P52"/>
  <c r="R52" s="1"/>
  <c r="W52" s="1"/>
  <c r="AB52" s="1"/>
  <c r="P51"/>
  <c r="R51" s="1"/>
  <c r="W51" s="1"/>
  <c r="AB51" s="1"/>
  <c r="P50"/>
  <c r="Q50" s="1"/>
  <c r="V50" s="1"/>
  <c r="P44"/>
  <c r="S44" s="1"/>
  <c r="P43"/>
  <c r="R43" s="1"/>
  <c r="W43" s="1"/>
  <c r="AB43" s="1"/>
  <c r="P42"/>
  <c r="Q42" s="1"/>
  <c r="V42" s="1"/>
  <c r="AA42" s="1"/>
  <c r="P41"/>
  <c r="R41" s="1"/>
  <c r="W41" s="1"/>
  <c r="AB41" s="1"/>
  <c r="P40"/>
  <c r="R40" s="1"/>
  <c r="W40" s="1"/>
  <c r="AB40" s="1"/>
  <c r="P39"/>
  <c r="R39" s="1"/>
  <c r="W39" s="1"/>
  <c r="P33"/>
  <c r="S33" s="1"/>
  <c r="P30"/>
  <c r="R30" s="1"/>
  <c r="W30" s="1"/>
  <c r="AB31" s="1"/>
  <c r="P29"/>
  <c r="Q29" s="1"/>
  <c r="V29" s="1"/>
  <c r="AA30" s="1"/>
  <c r="P28"/>
  <c r="Q28" s="1"/>
  <c r="V28" s="1"/>
  <c r="AA28" s="1"/>
  <c r="P27"/>
  <c r="S27" s="1"/>
  <c r="P21"/>
  <c r="Q21" s="1"/>
  <c r="V21" s="1"/>
  <c r="AA21" s="1"/>
  <c r="P20"/>
  <c r="S20" s="1"/>
  <c r="P19"/>
  <c r="Q19" s="1"/>
  <c r="V19" s="1"/>
  <c r="AA19" s="1"/>
  <c r="P18"/>
  <c r="S18" s="1"/>
  <c r="P17"/>
  <c r="Q17" s="1"/>
  <c r="V17" s="1"/>
  <c r="AA17" s="1"/>
  <c r="P16"/>
  <c r="S16" s="1"/>
  <c r="P10"/>
  <c r="Q10" s="1"/>
  <c r="V10" s="1"/>
  <c r="AA10" s="1"/>
  <c r="P9"/>
  <c r="Q9" s="1"/>
  <c r="V9" s="1"/>
  <c r="AA9" s="1"/>
  <c r="P8"/>
  <c r="Q8" s="1"/>
  <c r="V8" s="1"/>
  <c r="AA8" s="1"/>
  <c r="P7"/>
  <c r="R7" s="1"/>
  <c r="W7" s="1"/>
  <c r="AB7" s="1"/>
  <c r="AC117" i="29"/>
  <c r="AB115"/>
  <c r="AB114"/>
  <c r="AB113"/>
  <c r="AB112"/>
  <c r="AB111"/>
  <c r="AB110"/>
  <c r="AB109"/>
  <c r="AB108"/>
  <c r="AB103"/>
  <c r="AB102"/>
  <c r="AB101"/>
  <c r="AB100"/>
  <c r="AB99"/>
  <c r="AB98"/>
  <c r="AB97"/>
  <c r="AB92"/>
  <c r="AB91"/>
  <c r="AB90"/>
  <c r="AB89"/>
  <c r="AB88"/>
  <c r="AB87"/>
  <c r="AB86"/>
  <c r="AB81"/>
  <c r="AB80"/>
  <c r="AB79"/>
  <c r="AB78"/>
  <c r="AB77"/>
  <c r="AB76"/>
  <c r="AB75"/>
  <c r="AB74"/>
  <c r="AB69"/>
  <c r="AB68"/>
  <c r="AB67"/>
  <c r="AB66"/>
  <c r="AB65"/>
  <c r="AB64"/>
  <c r="AB63"/>
  <c r="AB53"/>
  <c r="AB58"/>
  <c r="AB57"/>
  <c r="AB56"/>
  <c r="AB55"/>
  <c r="AB54"/>
  <c r="AB52"/>
  <c r="AB47"/>
  <c r="AB46"/>
  <c r="AB45"/>
  <c r="AB44"/>
  <c r="AB43"/>
  <c r="AB42"/>
  <c r="AB41"/>
  <c r="AB40"/>
  <c r="AB35"/>
  <c r="AB34"/>
  <c r="AB33"/>
  <c r="AB32"/>
  <c r="AB31"/>
  <c r="AB30"/>
  <c r="AB29"/>
  <c r="AB28"/>
  <c r="AB23"/>
  <c r="AB22"/>
  <c r="AB21"/>
  <c r="AB20"/>
  <c r="AB19"/>
  <c r="AB18"/>
  <c r="AB17"/>
  <c r="AB16"/>
  <c r="Z114"/>
  <c r="Y114"/>
  <c r="AA114"/>
  <c r="AA113"/>
  <c r="Z113"/>
  <c r="Y113"/>
  <c r="Y108"/>
  <c r="AA112"/>
  <c r="Z112"/>
  <c r="Y112"/>
  <c r="AA111"/>
  <c r="Z111"/>
  <c r="Y111"/>
  <c r="AA110"/>
  <c r="Z110"/>
  <c r="Y110"/>
  <c r="AA109"/>
  <c r="Z109"/>
  <c r="Y109"/>
  <c r="AA108"/>
  <c r="Z108"/>
  <c r="Y97"/>
  <c r="AA102"/>
  <c r="Z102"/>
  <c r="Y102"/>
  <c r="AA101"/>
  <c r="Z101"/>
  <c r="Y101"/>
  <c r="AA100"/>
  <c r="Z100"/>
  <c r="Y100"/>
  <c r="AA99"/>
  <c r="Z99"/>
  <c r="Y99"/>
  <c r="AA98"/>
  <c r="Z98"/>
  <c r="Y98"/>
  <c r="AA97"/>
  <c r="Z97"/>
  <c r="AA91"/>
  <c r="AA90"/>
  <c r="Z91"/>
  <c r="Z90"/>
  <c r="Y91"/>
  <c r="Y90"/>
  <c r="Y89"/>
  <c r="Y86"/>
  <c r="AA89"/>
  <c r="Z89"/>
  <c r="AA88"/>
  <c r="Z88"/>
  <c r="Y88"/>
  <c r="AA87"/>
  <c r="Z87"/>
  <c r="Y87"/>
  <c r="AA86"/>
  <c r="Z86"/>
  <c r="V63"/>
  <c r="Y79"/>
  <c r="Z75"/>
  <c r="Y75"/>
  <c r="AA78"/>
  <c r="Z78"/>
  <c r="Y78"/>
  <c r="AA77"/>
  <c r="Z77"/>
  <c r="Y77"/>
  <c r="AA76"/>
  <c r="Z76"/>
  <c r="Y76"/>
  <c r="AA75"/>
  <c r="AA74"/>
  <c r="Z74"/>
  <c r="Y74"/>
  <c r="AA68"/>
  <c r="AA67"/>
  <c r="AA66"/>
  <c r="AA65"/>
  <c r="AA64"/>
  <c r="Z68"/>
  <c r="Z67"/>
  <c r="Z66"/>
  <c r="Z65"/>
  <c r="Z64"/>
  <c r="Y68"/>
  <c r="Y67"/>
  <c r="Y66"/>
  <c r="Y65"/>
  <c r="Y64"/>
  <c r="Y63"/>
  <c r="Z63"/>
  <c r="AA57"/>
  <c r="AA56"/>
  <c r="AA55"/>
  <c r="AA54"/>
  <c r="Z57"/>
  <c r="Z56"/>
  <c r="Z55"/>
  <c r="Z54"/>
  <c r="Y57"/>
  <c r="Y56"/>
  <c r="Y55"/>
  <c r="Y54"/>
  <c r="AA53"/>
  <c r="Z53"/>
  <c r="Y53"/>
  <c r="Y52"/>
  <c r="Z52"/>
  <c r="AA52"/>
  <c r="Z18"/>
  <c r="Z46"/>
  <c r="AA46"/>
  <c r="AA45"/>
  <c r="Z45"/>
  <c r="AA44"/>
  <c r="Z44"/>
  <c r="AA43"/>
  <c r="Z43"/>
  <c r="Y46"/>
  <c r="Y45"/>
  <c r="Y44"/>
  <c r="Y43"/>
  <c r="AA33"/>
  <c r="AA32"/>
  <c r="AA31"/>
  <c r="AA30"/>
  <c r="AA29"/>
  <c r="AA28"/>
  <c r="Z33"/>
  <c r="Z32"/>
  <c r="Z31"/>
  <c r="Z30"/>
  <c r="Z29"/>
  <c r="Z28"/>
  <c r="Y33"/>
  <c r="Y32"/>
  <c r="Y31"/>
  <c r="Y30"/>
  <c r="Y29"/>
  <c r="Y28"/>
  <c r="AA22"/>
  <c r="Z22"/>
  <c r="Y22"/>
  <c r="Y17"/>
  <c r="AA16"/>
  <c r="Z16"/>
  <c r="Y16"/>
  <c r="T42"/>
  <c r="S42"/>
  <c r="V42" s="1"/>
  <c r="R42"/>
  <c r="U42" s="1"/>
  <c r="Q42"/>
  <c r="S41"/>
  <c r="V41" s="1"/>
  <c r="R41"/>
  <c r="U41" s="1"/>
  <c r="Q41"/>
  <c r="T41" s="1"/>
  <c r="T31"/>
  <c r="S31"/>
  <c r="V31" s="1"/>
  <c r="R31"/>
  <c r="U31" s="1"/>
  <c r="Q31"/>
  <c r="S30"/>
  <c r="V30" s="1"/>
  <c r="R30"/>
  <c r="U30" s="1"/>
  <c r="Q30"/>
  <c r="T30" s="1"/>
  <c r="S21"/>
  <c r="V21" s="1"/>
  <c r="T20"/>
  <c r="S20"/>
  <c r="V20" s="1"/>
  <c r="R20"/>
  <c r="U20" s="1"/>
  <c r="Q20"/>
  <c r="S19"/>
  <c r="V19" s="1"/>
  <c r="R19"/>
  <c r="U19" s="1"/>
  <c r="Q19"/>
  <c r="T19" s="1"/>
  <c r="J46"/>
  <c r="Q46" s="1"/>
  <c r="T46" s="1"/>
  <c r="J45"/>
  <c r="S45" s="1"/>
  <c r="V45" s="1"/>
  <c r="J44"/>
  <c r="R44" s="1"/>
  <c r="U44" s="1"/>
  <c r="J43"/>
  <c r="Q43" s="1"/>
  <c r="T43" s="1"/>
  <c r="J42"/>
  <c r="J41"/>
  <c r="J40"/>
  <c r="Q40" s="1"/>
  <c r="T40" s="1"/>
  <c r="J34"/>
  <c r="S34" s="1"/>
  <c r="V34" s="1"/>
  <c r="J33"/>
  <c r="R33" s="1"/>
  <c r="U33" s="1"/>
  <c r="J32"/>
  <c r="Q32" s="1"/>
  <c r="T32" s="1"/>
  <c r="J31"/>
  <c r="J30"/>
  <c r="J29"/>
  <c r="Q29" s="1"/>
  <c r="T29" s="1"/>
  <c r="J28"/>
  <c r="S28" s="1"/>
  <c r="V28" s="1"/>
  <c r="J22"/>
  <c r="R22" s="1"/>
  <c r="U22" s="1"/>
  <c r="J21"/>
  <c r="R21" s="1"/>
  <c r="U21" s="1"/>
  <c r="J20"/>
  <c r="J19"/>
  <c r="J18"/>
  <c r="Q18" s="1"/>
  <c r="T18" s="1"/>
  <c r="J17"/>
  <c r="Q17" s="1"/>
  <c r="T17" s="1"/>
  <c r="J16"/>
  <c r="R16" s="1"/>
  <c r="U16" s="1"/>
  <c r="J114"/>
  <c r="S114" s="1"/>
  <c r="V114" s="1"/>
  <c r="J113"/>
  <c r="R113" s="1"/>
  <c r="U113" s="1"/>
  <c r="J112"/>
  <c r="R112" s="1"/>
  <c r="U112" s="1"/>
  <c r="J111"/>
  <c r="S111" s="1"/>
  <c r="V111" s="1"/>
  <c r="S110"/>
  <c r="V110" s="1"/>
  <c r="R110"/>
  <c r="U110" s="1"/>
  <c r="Q110"/>
  <c r="T110" s="1"/>
  <c r="J110"/>
  <c r="S109"/>
  <c r="V109" s="1"/>
  <c r="R109"/>
  <c r="U109" s="1"/>
  <c r="Q109"/>
  <c r="T109" s="1"/>
  <c r="J109"/>
  <c r="J108"/>
  <c r="Q108" s="1"/>
  <c r="T108" s="1"/>
  <c r="S102"/>
  <c r="V102" s="1"/>
  <c r="R102"/>
  <c r="U102" s="1"/>
  <c r="Q102"/>
  <c r="T102" s="1"/>
  <c r="J102"/>
  <c r="J101"/>
  <c r="Q101" s="1"/>
  <c r="T101" s="1"/>
  <c r="J100"/>
  <c r="R100" s="1"/>
  <c r="U100" s="1"/>
  <c r="R99"/>
  <c r="U99" s="1"/>
  <c r="Q99"/>
  <c r="T99" s="1"/>
  <c r="J99"/>
  <c r="S99" s="1"/>
  <c r="V99" s="1"/>
  <c r="J98"/>
  <c r="R98" s="1"/>
  <c r="U98" s="1"/>
  <c r="J97"/>
  <c r="Q97" s="1"/>
  <c r="T97" s="1"/>
  <c r="J91"/>
  <c r="Q91" s="1"/>
  <c r="T91" s="1"/>
  <c r="J90"/>
  <c r="Q90" s="1"/>
  <c r="T90" s="1"/>
  <c r="Q89"/>
  <c r="T89" s="1"/>
  <c r="J89"/>
  <c r="R89" s="1"/>
  <c r="U89" s="1"/>
  <c r="J88"/>
  <c r="S88" s="1"/>
  <c r="V88" s="1"/>
  <c r="S87"/>
  <c r="V87" s="1"/>
  <c r="R87"/>
  <c r="U87" s="1"/>
  <c r="Q87"/>
  <c r="T87" s="1"/>
  <c r="J87"/>
  <c r="R86"/>
  <c r="U86" s="1"/>
  <c r="Q86"/>
  <c r="T86" s="1"/>
  <c r="J86"/>
  <c r="S86" s="1"/>
  <c r="V86" s="1"/>
  <c r="Q80"/>
  <c r="T80" s="1"/>
  <c r="J80"/>
  <c r="R80" s="1"/>
  <c r="U80" s="1"/>
  <c r="J79"/>
  <c r="R79" s="1"/>
  <c r="U79" s="1"/>
  <c r="J78"/>
  <c r="Q78" s="1"/>
  <c r="T78" s="1"/>
  <c r="J77"/>
  <c r="Q77" s="1"/>
  <c r="T77" s="1"/>
  <c r="J76"/>
  <c r="R76" s="1"/>
  <c r="U76" s="1"/>
  <c r="Q75"/>
  <c r="T75" s="1"/>
  <c r="J75"/>
  <c r="R75" s="1"/>
  <c r="U75" s="1"/>
  <c r="R74"/>
  <c r="U74" s="1"/>
  <c r="Q74"/>
  <c r="T74" s="1"/>
  <c r="J74"/>
  <c r="S74" s="1"/>
  <c r="V74" s="1"/>
  <c r="Q68"/>
  <c r="T68" s="1"/>
  <c r="J68"/>
  <c r="S68" s="1"/>
  <c r="V68" s="1"/>
  <c r="J67"/>
  <c r="Q67" s="1"/>
  <c r="T67" s="1"/>
  <c r="J66"/>
  <c r="R66" s="1"/>
  <c r="U66" s="1"/>
  <c r="J65"/>
  <c r="S65" s="1"/>
  <c r="V65" s="1"/>
  <c r="J64"/>
  <c r="Q64" s="1"/>
  <c r="T64" s="1"/>
  <c r="S63"/>
  <c r="R63"/>
  <c r="U63" s="1"/>
  <c r="J63"/>
  <c r="Q63" s="1"/>
  <c r="T63" s="1"/>
  <c r="R57"/>
  <c r="U57" s="1"/>
  <c r="J57"/>
  <c r="Q57" s="1"/>
  <c r="T57" s="1"/>
  <c r="Q56"/>
  <c r="T56" s="1"/>
  <c r="J56"/>
  <c r="R56" s="1"/>
  <c r="U56" s="1"/>
  <c r="Q55"/>
  <c r="T55" s="1"/>
  <c r="J55"/>
  <c r="R55" s="1"/>
  <c r="U55" s="1"/>
  <c r="J54"/>
  <c r="Q54" s="1"/>
  <c r="T54" s="1"/>
  <c r="T53"/>
  <c r="J53"/>
  <c r="R53" s="1"/>
  <c r="U53" s="1"/>
  <c r="Q52"/>
  <c r="T52" s="1"/>
  <c r="J52"/>
  <c r="S52" s="1"/>
  <c r="V52" s="1"/>
  <c r="J10"/>
  <c r="Q10" s="1"/>
  <c r="T10" s="1"/>
  <c r="J9"/>
  <c r="Q9" s="1"/>
  <c r="T9" s="1"/>
  <c r="Q8"/>
  <c r="T8" s="1"/>
  <c r="J8"/>
  <c r="R8" s="1"/>
  <c r="U8" s="1"/>
  <c r="J7"/>
  <c r="S7" s="1"/>
  <c r="V7" s="1"/>
  <c r="Q6"/>
  <c r="T6" s="1"/>
  <c r="J6"/>
  <c r="S6" s="1"/>
  <c r="V6" s="1"/>
  <c r="Q5"/>
  <c r="T5" s="1"/>
  <c r="J5"/>
  <c r="R5" s="1"/>
  <c r="U5" s="1"/>
  <c r="AC64" i="28" l="1"/>
  <c r="AA29"/>
  <c r="Q27"/>
  <c r="V27" s="1"/>
  <c r="AA27" s="1"/>
  <c r="S65"/>
  <c r="O56"/>
  <c r="U7"/>
  <c r="Z7" s="1"/>
  <c r="U42"/>
  <c r="Z42" s="1"/>
  <c r="U53"/>
  <c r="Z53" s="1"/>
  <c r="U64"/>
  <c r="Z65" s="1"/>
  <c r="U18"/>
  <c r="Z18" s="1"/>
  <c r="O45"/>
  <c r="T39"/>
  <c r="Y39" s="1"/>
  <c r="U29"/>
  <c r="U21"/>
  <c r="Z21" s="1"/>
  <c r="U39"/>
  <c r="Z39" s="1"/>
  <c r="U61"/>
  <c r="Z61" s="1"/>
  <c r="U67"/>
  <c r="S17"/>
  <c r="U5"/>
  <c r="U8"/>
  <c r="Z8" s="1"/>
  <c r="U16"/>
  <c r="Z16" s="1"/>
  <c r="U19"/>
  <c r="Z19" s="1"/>
  <c r="AC19" s="1"/>
  <c r="U27"/>
  <c r="Z27" s="1"/>
  <c r="U30"/>
  <c r="Z31" s="1"/>
  <c r="U40"/>
  <c r="Z40" s="1"/>
  <c r="U43"/>
  <c r="Z43" s="1"/>
  <c r="U51"/>
  <c r="Z51" s="1"/>
  <c r="U54"/>
  <c r="Z54" s="1"/>
  <c r="U62"/>
  <c r="Z62" s="1"/>
  <c r="U65"/>
  <c r="Z66" s="1"/>
  <c r="U50"/>
  <c r="Z50" s="1"/>
  <c r="S21"/>
  <c r="T53"/>
  <c r="Y53" s="1"/>
  <c r="U10"/>
  <c r="Z10" s="1"/>
  <c r="O11"/>
  <c r="O22"/>
  <c r="O68"/>
  <c r="U6"/>
  <c r="Z6" s="1"/>
  <c r="U9"/>
  <c r="Z9" s="1"/>
  <c r="U17"/>
  <c r="Z17" s="1"/>
  <c r="U20"/>
  <c r="Z20" s="1"/>
  <c r="U28"/>
  <c r="Z28" s="1"/>
  <c r="U33"/>
  <c r="U41"/>
  <c r="Z41" s="1"/>
  <c r="U44"/>
  <c r="Z44" s="1"/>
  <c r="U52"/>
  <c r="Z52" s="1"/>
  <c r="U55"/>
  <c r="Z55" s="1"/>
  <c r="U63"/>
  <c r="Z63" s="1"/>
  <c r="U66"/>
  <c r="Z67" s="1"/>
  <c r="S64"/>
  <c r="O34"/>
  <c r="S31"/>
  <c r="Q31"/>
  <c r="V31" s="1"/>
  <c r="AA32" s="1"/>
  <c r="U31"/>
  <c r="Z32" s="1"/>
  <c r="S32"/>
  <c r="Q32"/>
  <c r="V32" s="1"/>
  <c r="AA33" s="1"/>
  <c r="U32"/>
  <c r="Z33" s="1"/>
  <c r="T32"/>
  <c r="Y33" s="1"/>
  <c r="Q62"/>
  <c r="V62" s="1"/>
  <c r="AA62" s="1"/>
  <c r="S50"/>
  <c r="R27"/>
  <c r="W27" s="1"/>
  <c r="AB27" s="1"/>
  <c r="Q16"/>
  <c r="V16" s="1"/>
  <c r="AA16" s="1"/>
  <c r="S55"/>
  <c r="R10"/>
  <c r="W10" s="1"/>
  <c r="AB10" s="1"/>
  <c r="Q65"/>
  <c r="V65" s="1"/>
  <c r="AA66" s="1"/>
  <c r="Q63"/>
  <c r="V63" s="1"/>
  <c r="AA63" s="1"/>
  <c r="Q33"/>
  <c r="V33" s="1"/>
  <c r="R33"/>
  <c r="W33" s="1"/>
  <c r="R42"/>
  <c r="W42" s="1"/>
  <c r="AB42" s="1"/>
  <c r="R44"/>
  <c r="W44" s="1"/>
  <c r="AB44" s="1"/>
  <c r="Q44"/>
  <c r="V44" s="1"/>
  <c r="AA44" s="1"/>
  <c r="S29"/>
  <c r="S19"/>
  <c r="R21"/>
  <c r="W21" s="1"/>
  <c r="AB21" s="1"/>
  <c r="R19"/>
  <c r="W19" s="1"/>
  <c r="AB19" s="1"/>
  <c r="R17"/>
  <c r="W17" s="1"/>
  <c r="AB17" s="1"/>
  <c r="Q39"/>
  <c r="V39" s="1"/>
  <c r="AA39" s="1"/>
  <c r="R50"/>
  <c r="W50" s="1"/>
  <c r="AB50" s="1"/>
  <c r="AC50" s="1"/>
  <c r="R55"/>
  <c r="W55" s="1"/>
  <c r="AB55" s="1"/>
  <c r="R64"/>
  <c r="W64" s="1"/>
  <c r="AB65" s="1"/>
  <c r="R16"/>
  <c r="W16" s="1"/>
  <c r="AB16" s="1"/>
  <c r="R20"/>
  <c r="W20" s="1"/>
  <c r="AB20" s="1"/>
  <c r="Q20"/>
  <c r="V20" s="1"/>
  <c r="AA20" s="1"/>
  <c r="S53"/>
  <c r="R53"/>
  <c r="W53" s="1"/>
  <c r="AB53" s="1"/>
  <c r="S42"/>
  <c r="S61"/>
  <c r="S28"/>
  <c r="Q40"/>
  <c r="V40" s="1"/>
  <c r="AA40" s="1"/>
  <c r="Q61"/>
  <c r="V61" s="1"/>
  <c r="AA61" s="1"/>
  <c r="R67"/>
  <c r="W67" s="1"/>
  <c r="R18"/>
  <c r="W18" s="1"/>
  <c r="AB18" s="1"/>
  <c r="R28"/>
  <c r="W28" s="1"/>
  <c r="AB28" s="1"/>
  <c r="S39"/>
  <c r="S51"/>
  <c r="Q67"/>
  <c r="V67" s="1"/>
  <c r="Q6"/>
  <c r="V6" s="1"/>
  <c r="AA6" s="1"/>
  <c r="S7"/>
  <c r="Q18"/>
  <c r="V18" s="1"/>
  <c r="AA18" s="1"/>
  <c r="Q51"/>
  <c r="V51" s="1"/>
  <c r="AA51" s="1"/>
  <c r="S62"/>
  <c r="R29"/>
  <c r="W29" s="1"/>
  <c r="S40"/>
  <c r="R9"/>
  <c r="W9" s="1"/>
  <c r="AB9" s="1"/>
  <c r="R8"/>
  <c r="W8" s="1"/>
  <c r="AB8" s="1"/>
  <c r="S8"/>
  <c r="Q7"/>
  <c r="V7" s="1"/>
  <c r="AA7" s="1"/>
  <c r="S5"/>
  <c r="Q5"/>
  <c r="V5" s="1"/>
  <c r="AA5" s="1"/>
  <c r="Q66"/>
  <c r="V66" s="1"/>
  <c r="AA67" s="1"/>
  <c r="S63"/>
  <c r="S66"/>
  <c r="S52"/>
  <c r="Q52"/>
  <c r="V52" s="1"/>
  <c r="AA52" s="1"/>
  <c r="Q54"/>
  <c r="V54" s="1"/>
  <c r="AA54" s="1"/>
  <c r="S54"/>
  <c r="S41"/>
  <c r="Q41"/>
  <c r="V41" s="1"/>
  <c r="AA41" s="1"/>
  <c r="Q43"/>
  <c r="V43" s="1"/>
  <c r="AA43" s="1"/>
  <c r="S43"/>
  <c r="S30"/>
  <c r="Q30"/>
  <c r="V30" s="1"/>
  <c r="AA31" s="1"/>
  <c r="S9"/>
  <c r="S10"/>
  <c r="R6"/>
  <c r="W6" s="1"/>
  <c r="AB6" s="1"/>
  <c r="S16" i="29"/>
  <c r="V16" s="1"/>
  <c r="S22"/>
  <c r="V22" s="1"/>
  <c r="R32"/>
  <c r="U32" s="1"/>
  <c r="R43"/>
  <c r="U43" s="1"/>
  <c r="R65"/>
  <c r="U65" s="1"/>
  <c r="S75"/>
  <c r="V75" s="1"/>
  <c r="S108"/>
  <c r="V108" s="1"/>
  <c r="S17"/>
  <c r="V17" s="1"/>
  <c r="Q21"/>
  <c r="T21" s="1"/>
  <c r="S57"/>
  <c r="V57" s="1"/>
  <c r="Q65"/>
  <c r="T65" s="1"/>
  <c r="R68"/>
  <c r="U68" s="1"/>
  <c r="Q79"/>
  <c r="T79" s="1"/>
  <c r="Q98"/>
  <c r="T98" s="1"/>
  <c r="R108"/>
  <c r="U108" s="1"/>
  <c r="Q112"/>
  <c r="T112" s="1"/>
  <c r="Q16"/>
  <c r="T16" s="1"/>
  <c r="R17"/>
  <c r="U17" s="1"/>
  <c r="S18"/>
  <c r="V18" s="1"/>
  <c r="Q22"/>
  <c r="T22" s="1"/>
  <c r="R28"/>
  <c r="U28" s="1"/>
  <c r="S29"/>
  <c r="V29" s="1"/>
  <c r="Q33"/>
  <c r="T33" s="1"/>
  <c r="R34"/>
  <c r="U34" s="1"/>
  <c r="S40"/>
  <c r="V40" s="1"/>
  <c r="Q44"/>
  <c r="T44" s="1"/>
  <c r="R45"/>
  <c r="U45" s="1"/>
  <c r="S46"/>
  <c r="V46" s="1"/>
  <c r="R18"/>
  <c r="U18" s="1"/>
  <c r="Q28"/>
  <c r="T28" s="1"/>
  <c r="R29"/>
  <c r="U29" s="1"/>
  <c r="Q34"/>
  <c r="T34" s="1"/>
  <c r="R40"/>
  <c r="U40" s="1"/>
  <c r="Q45"/>
  <c r="T45" s="1"/>
  <c r="R46"/>
  <c r="U46" s="1"/>
  <c r="S32"/>
  <c r="V32" s="1"/>
  <c r="S43"/>
  <c r="V43" s="1"/>
  <c r="S33"/>
  <c r="V33" s="1"/>
  <c r="S44"/>
  <c r="V44" s="1"/>
  <c r="S10"/>
  <c r="V10" s="1"/>
  <c r="S64"/>
  <c r="V64" s="1"/>
  <c r="R7"/>
  <c r="U7" s="1"/>
  <c r="R10"/>
  <c r="U10" s="1"/>
  <c r="S55"/>
  <c r="V55" s="1"/>
  <c r="S56"/>
  <c r="V56" s="1"/>
  <c r="R64"/>
  <c r="U64" s="1"/>
  <c r="Q66"/>
  <c r="T66" s="1"/>
  <c r="Q76"/>
  <c r="T76" s="1"/>
  <c r="S79"/>
  <c r="V79" s="1"/>
  <c r="S80"/>
  <c r="V80" s="1"/>
  <c r="R88"/>
  <c r="U88" s="1"/>
  <c r="R91"/>
  <c r="U91" s="1"/>
  <c r="R97"/>
  <c r="U97" s="1"/>
  <c r="S98"/>
  <c r="V98" s="1"/>
  <c r="R111"/>
  <c r="U111" s="1"/>
  <c r="R114"/>
  <c r="U114" s="1"/>
  <c r="S91"/>
  <c r="V91" s="1"/>
  <c r="S97"/>
  <c r="V97" s="1"/>
  <c r="Q7"/>
  <c r="T7" s="1"/>
  <c r="R52"/>
  <c r="U52" s="1"/>
  <c r="Q88"/>
  <c r="T88" s="1"/>
  <c r="Q100"/>
  <c r="T100" s="1"/>
  <c r="Q111"/>
  <c r="T111" s="1"/>
  <c r="Q114"/>
  <c r="T114" s="1"/>
  <c r="S113"/>
  <c r="V113" s="1"/>
  <c r="S112"/>
  <c r="V112" s="1"/>
  <c r="Q113"/>
  <c r="T113" s="1"/>
  <c r="S101"/>
  <c r="V101" s="1"/>
  <c r="S100"/>
  <c r="V100" s="1"/>
  <c r="R101"/>
  <c r="U101" s="1"/>
  <c r="S90"/>
  <c r="V90" s="1"/>
  <c r="S89"/>
  <c r="V89" s="1"/>
  <c r="R90"/>
  <c r="U90" s="1"/>
  <c r="S78"/>
  <c r="V78" s="1"/>
  <c r="S77"/>
  <c r="V77" s="1"/>
  <c r="R78"/>
  <c r="U78" s="1"/>
  <c r="S76"/>
  <c r="V76" s="1"/>
  <c r="R77"/>
  <c r="U77" s="1"/>
  <c r="S67"/>
  <c r="V67" s="1"/>
  <c r="S66"/>
  <c r="V66" s="1"/>
  <c r="R67"/>
  <c r="U67" s="1"/>
  <c r="S54"/>
  <c r="V54" s="1"/>
  <c r="S53"/>
  <c r="V53" s="1"/>
  <c r="R54"/>
  <c r="U54" s="1"/>
  <c r="R6"/>
  <c r="U6" s="1"/>
  <c r="S5"/>
  <c r="V5" s="1"/>
  <c r="S9"/>
  <c r="V9" s="1"/>
  <c r="S8"/>
  <c r="V8" s="1"/>
  <c r="R9"/>
  <c r="U9" s="1"/>
  <c r="D47" i="31"/>
  <c r="O20"/>
  <c r="N20"/>
  <c r="M20"/>
  <c r="L20"/>
  <c r="K20"/>
  <c r="J20"/>
  <c r="I20"/>
  <c r="H20"/>
  <c r="G20"/>
  <c r="F20"/>
  <c r="E20"/>
  <c r="D20"/>
  <c r="N52"/>
  <c r="M52"/>
  <c r="L52"/>
  <c r="K52"/>
  <c r="J52"/>
  <c r="I52"/>
  <c r="H52"/>
  <c r="G52"/>
  <c r="F52"/>
  <c r="E52"/>
  <c r="D52"/>
  <c r="O52"/>
  <c r="D19"/>
  <c r="D3"/>
  <c r="P28"/>
  <c r="P29"/>
  <c r="P30"/>
  <c r="P31"/>
  <c r="P32"/>
  <c r="P33"/>
  <c r="P34"/>
  <c r="P35"/>
  <c r="P36"/>
  <c r="P37"/>
  <c r="P38"/>
  <c r="P39"/>
  <c r="P40"/>
  <c r="P41"/>
  <c r="O318"/>
  <c r="N318"/>
  <c r="M318"/>
  <c r="L318"/>
  <c r="K318"/>
  <c r="J318"/>
  <c r="I318"/>
  <c r="H318"/>
  <c r="G318"/>
  <c r="F318"/>
  <c r="E318"/>
  <c r="D318"/>
  <c r="O317"/>
  <c r="N317"/>
  <c r="M317"/>
  <c r="L317"/>
  <c r="K317"/>
  <c r="J317"/>
  <c r="I317"/>
  <c r="H317"/>
  <c r="G317"/>
  <c r="F317"/>
  <c r="E317"/>
  <c r="D317"/>
  <c r="O316"/>
  <c r="N316"/>
  <c r="M316"/>
  <c r="L316"/>
  <c r="K316"/>
  <c r="J316"/>
  <c r="I316"/>
  <c r="H316"/>
  <c r="G316"/>
  <c r="F316"/>
  <c r="E316"/>
  <c r="D316"/>
  <c r="O315"/>
  <c r="N315"/>
  <c r="M315"/>
  <c r="L315"/>
  <c r="K315"/>
  <c r="J315"/>
  <c r="I315"/>
  <c r="H315"/>
  <c r="G315"/>
  <c r="F315"/>
  <c r="E315"/>
  <c r="D315"/>
  <c r="O314"/>
  <c r="N314"/>
  <c r="M314"/>
  <c r="L314"/>
  <c r="K314"/>
  <c r="J314"/>
  <c r="I314"/>
  <c r="H314"/>
  <c r="G314"/>
  <c r="F314"/>
  <c r="E314"/>
  <c r="D314"/>
  <c r="O313"/>
  <c r="N313"/>
  <c r="M313"/>
  <c r="L313"/>
  <c r="K313"/>
  <c r="J313"/>
  <c r="I313"/>
  <c r="H313"/>
  <c r="G313"/>
  <c r="F313"/>
  <c r="E313"/>
  <c r="D313"/>
  <c r="O312"/>
  <c r="N312"/>
  <c r="M312"/>
  <c r="L312"/>
  <c r="K312"/>
  <c r="J312"/>
  <c r="I312"/>
  <c r="H312"/>
  <c r="G312"/>
  <c r="F312"/>
  <c r="E312"/>
  <c r="D312"/>
  <c r="O311"/>
  <c r="N311"/>
  <c r="M311"/>
  <c r="L311"/>
  <c r="K311"/>
  <c r="J311"/>
  <c r="I311"/>
  <c r="H311"/>
  <c r="G311"/>
  <c r="F311"/>
  <c r="E311"/>
  <c r="D311"/>
  <c r="O310"/>
  <c r="N310"/>
  <c r="M310"/>
  <c r="L310"/>
  <c r="K310"/>
  <c r="J310"/>
  <c r="I310"/>
  <c r="H310"/>
  <c r="G310"/>
  <c r="F310"/>
  <c r="E310"/>
  <c r="D310"/>
  <c r="O309"/>
  <c r="N309"/>
  <c r="M309"/>
  <c r="L309"/>
  <c r="K309"/>
  <c r="J309"/>
  <c r="I309"/>
  <c r="H309"/>
  <c r="G309"/>
  <c r="F309"/>
  <c r="E309"/>
  <c r="D309"/>
  <c r="O308"/>
  <c r="N308"/>
  <c r="M308"/>
  <c r="L308"/>
  <c r="K308"/>
  <c r="J308"/>
  <c r="I308"/>
  <c r="H308"/>
  <c r="G308"/>
  <c r="F308"/>
  <c r="E308"/>
  <c r="D308"/>
  <c r="O307"/>
  <c r="N307"/>
  <c r="M307"/>
  <c r="L307"/>
  <c r="K307"/>
  <c r="J307"/>
  <c r="I307"/>
  <c r="H307"/>
  <c r="G307"/>
  <c r="F307"/>
  <c r="E307"/>
  <c r="D307"/>
  <c r="O306"/>
  <c r="N306"/>
  <c r="M306"/>
  <c r="L306"/>
  <c r="K306"/>
  <c r="J306"/>
  <c r="I306"/>
  <c r="H306"/>
  <c r="G306"/>
  <c r="F306"/>
  <c r="E306"/>
  <c r="D306"/>
  <c r="O305"/>
  <c r="N305"/>
  <c r="M305"/>
  <c r="L305"/>
  <c r="K305"/>
  <c r="J305"/>
  <c r="I305"/>
  <c r="H305"/>
  <c r="G305"/>
  <c r="F305"/>
  <c r="E305"/>
  <c r="D305"/>
  <c r="O304"/>
  <c r="N304"/>
  <c r="M304"/>
  <c r="L304"/>
  <c r="K304"/>
  <c r="J304"/>
  <c r="I304"/>
  <c r="H304"/>
  <c r="G304"/>
  <c r="F304"/>
  <c r="E304"/>
  <c r="D304"/>
  <c r="O303"/>
  <c r="N303"/>
  <c r="M303"/>
  <c r="L303"/>
  <c r="K303"/>
  <c r="J303"/>
  <c r="I303"/>
  <c r="H303"/>
  <c r="G303"/>
  <c r="F303"/>
  <c r="E303"/>
  <c r="D303"/>
  <c r="O302"/>
  <c r="N302"/>
  <c r="M302"/>
  <c r="L302"/>
  <c r="K302"/>
  <c r="J302"/>
  <c r="I302"/>
  <c r="H302"/>
  <c r="G302"/>
  <c r="F302"/>
  <c r="E302"/>
  <c r="D302"/>
  <c r="O301"/>
  <c r="N301"/>
  <c r="M301"/>
  <c r="L301"/>
  <c r="K301"/>
  <c r="J301"/>
  <c r="I301"/>
  <c r="H301"/>
  <c r="G301"/>
  <c r="F301"/>
  <c r="E301"/>
  <c r="D301"/>
  <c r="O300"/>
  <c r="O319" s="1"/>
  <c r="N300"/>
  <c r="N319" s="1"/>
  <c r="M300"/>
  <c r="M319" s="1"/>
  <c r="L300"/>
  <c r="L319" s="1"/>
  <c r="K300"/>
  <c r="K319" s="1"/>
  <c r="J300"/>
  <c r="J319" s="1"/>
  <c r="I300"/>
  <c r="I319" s="1"/>
  <c r="H300"/>
  <c r="H319" s="1"/>
  <c r="G300"/>
  <c r="G319" s="1"/>
  <c r="F300"/>
  <c r="F319" s="1"/>
  <c r="E300"/>
  <c r="D300"/>
  <c r="D319" s="1"/>
  <c r="P275"/>
  <c r="P274"/>
  <c r="O293"/>
  <c r="O295" s="1"/>
  <c r="N293"/>
  <c r="N295" s="1"/>
  <c r="M293"/>
  <c r="M295" s="1"/>
  <c r="L293"/>
  <c r="L295" s="1"/>
  <c r="K293"/>
  <c r="K295" s="1"/>
  <c r="J293"/>
  <c r="J295" s="1"/>
  <c r="I293"/>
  <c r="I295" s="1"/>
  <c r="H293"/>
  <c r="H295" s="1"/>
  <c r="G293"/>
  <c r="G295" s="1"/>
  <c r="F293"/>
  <c r="F295" s="1"/>
  <c r="E293"/>
  <c r="E295" s="1"/>
  <c r="D293"/>
  <c r="D295" s="1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O268"/>
  <c r="N268"/>
  <c r="M268"/>
  <c r="L268"/>
  <c r="K268"/>
  <c r="J268"/>
  <c r="I268"/>
  <c r="H268"/>
  <c r="G268"/>
  <c r="F268"/>
  <c r="E268"/>
  <c r="D268"/>
  <c r="O267"/>
  <c r="N267"/>
  <c r="M267"/>
  <c r="L267"/>
  <c r="K267"/>
  <c r="J267"/>
  <c r="I267"/>
  <c r="H267"/>
  <c r="G267"/>
  <c r="F267"/>
  <c r="E267"/>
  <c r="D267"/>
  <c r="O266"/>
  <c r="N266"/>
  <c r="M266"/>
  <c r="L266"/>
  <c r="K266"/>
  <c r="J266"/>
  <c r="I266"/>
  <c r="H266"/>
  <c r="G266"/>
  <c r="F266"/>
  <c r="E266"/>
  <c r="D266"/>
  <c r="O265"/>
  <c r="N265"/>
  <c r="M265"/>
  <c r="L265"/>
  <c r="K265"/>
  <c r="J265"/>
  <c r="I265"/>
  <c r="H265"/>
  <c r="G265"/>
  <c r="F265"/>
  <c r="E265"/>
  <c r="D265"/>
  <c r="O264"/>
  <c r="N264"/>
  <c r="M264"/>
  <c r="L264"/>
  <c r="K264"/>
  <c r="J264"/>
  <c r="I264"/>
  <c r="H264"/>
  <c r="G264"/>
  <c r="F264"/>
  <c r="E264"/>
  <c r="D264"/>
  <c r="O263"/>
  <c r="N263"/>
  <c r="M263"/>
  <c r="L263"/>
  <c r="K263"/>
  <c r="J263"/>
  <c r="I263"/>
  <c r="H263"/>
  <c r="G263"/>
  <c r="F263"/>
  <c r="E263"/>
  <c r="D263"/>
  <c r="O262"/>
  <c r="N262"/>
  <c r="M262"/>
  <c r="L262"/>
  <c r="K262"/>
  <c r="J262"/>
  <c r="I262"/>
  <c r="H262"/>
  <c r="G262"/>
  <c r="F262"/>
  <c r="E262"/>
  <c r="D262"/>
  <c r="O261"/>
  <c r="N261"/>
  <c r="M261"/>
  <c r="L261"/>
  <c r="K261"/>
  <c r="J261"/>
  <c r="I261"/>
  <c r="H261"/>
  <c r="G261"/>
  <c r="F261"/>
  <c r="E261"/>
  <c r="D261"/>
  <c r="O260"/>
  <c r="N260"/>
  <c r="M260"/>
  <c r="L260"/>
  <c r="K260"/>
  <c r="J260"/>
  <c r="I260"/>
  <c r="H260"/>
  <c r="G260"/>
  <c r="F260"/>
  <c r="E260"/>
  <c r="D260"/>
  <c r="O259"/>
  <c r="N259"/>
  <c r="M259"/>
  <c r="L259"/>
  <c r="K259"/>
  <c r="J259"/>
  <c r="I259"/>
  <c r="H259"/>
  <c r="G259"/>
  <c r="F259"/>
  <c r="E259"/>
  <c r="D259"/>
  <c r="O258"/>
  <c r="N258"/>
  <c r="M258"/>
  <c r="L258"/>
  <c r="K258"/>
  <c r="J258"/>
  <c r="I258"/>
  <c r="H258"/>
  <c r="G258"/>
  <c r="F258"/>
  <c r="E258"/>
  <c r="D258"/>
  <c r="O257"/>
  <c r="N257"/>
  <c r="M257"/>
  <c r="L257"/>
  <c r="K257"/>
  <c r="J257"/>
  <c r="I257"/>
  <c r="H257"/>
  <c r="G257"/>
  <c r="F257"/>
  <c r="E257"/>
  <c r="D257"/>
  <c r="O256"/>
  <c r="N256"/>
  <c r="M256"/>
  <c r="L256"/>
  <c r="K256"/>
  <c r="J256"/>
  <c r="I256"/>
  <c r="H256"/>
  <c r="G256"/>
  <c r="F256"/>
  <c r="E256"/>
  <c r="D256"/>
  <c r="O255"/>
  <c r="N255"/>
  <c r="M255"/>
  <c r="L255"/>
  <c r="K255"/>
  <c r="J255"/>
  <c r="I255"/>
  <c r="H255"/>
  <c r="G255"/>
  <c r="F255"/>
  <c r="E255"/>
  <c r="D255"/>
  <c r="O254"/>
  <c r="N254"/>
  <c r="M254"/>
  <c r="L254"/>
  <c r="K254"/>
  <c r="J254"/>
  <c r="I254"/>
  <c r="H254"/>
  <c r="G254"/>
  <c r="F254"/>
  <c r="E254"/>
  <c r="D254"/>
  <c r="O253"/>
  <c r="N253"/>
  <c r="M253"/>
  <c r="L253"/>
  <c r="K253"/>
  <c r="J253"/>
  <c r="I253"/>
  <c r="H253"/>
  <c r="G253"/>
  <c r="F253"/>
  <c r="E253"/>
  <c r="D253"/>
  <c r="O252"/>
  <c r="N252"/>
  <c r="M252"/>
  <c r="L252"/>
  <c r="K252"/>
  <c r="J252"/>
  <c r="I252"/>
  <c r="H252"/>
  <c r="G252"/>
  <c r="F252"/>
  <c r="E252"/>
  <c r="D252"/>
  <c r="O251"/>
  <c r="N251"/>
  <c r="M251"/>
  <c r="L251"/>
  <c r="K251"/>
  <c r="J251"/>
  <c r="I251"/>
  <c r="H251"/>
  <c r="G251"/>
  <c r="F251"/>
  <c r="E251"/>
  <c r="D251"/>
  <c r="O250"/>
  <c r="O269" s="1"/>
  <c r="N250"/>
  <c r="N269" s="1"/>
  <c r="M250"/>
  <c r="M269" s="1"/>
  <c r="L250"/>
  <c r="L269" s="1"/>
  <c r="K250"/>
  <c r="K269" s="1"/>
  <c r="J250"/>
  <c r="J269" s="1"/>
  <c r="I250"/>
  <c r="I269" s="1"/>
  <c r="H250"/>
  <c r="H269" s="1"/>
  <c r="G250"/>
  <c r="G269" s="1"/>
  <c r="F250"/>
  <c r="F269" s="1"/>
  <c r="E250"/>
  <c r="E269" s="1"/>
  <c r="D250"/>
  <c r="D269" s="1"/>
  <c r="O243"/>
  <c r="O245" s="1"/>
  <c r="N243"/>
  <c r="N245" s="1"/>
  <c r="M243"/>
  <c r="M245" s="1"/>
  <c r="L243"/>
  <c r="L245" s="1"/>
  <c r="K243"/>
  <c r="K245" s="1"/>
  <c r="J243"/>
  <c r="J245" s="1"/>
  <c r="I243"/>
  <c r="I245" s="1"/>
  <c r="H243"/>
  <c r="H245" s="1"/>
  <c r="G243"/>
  <c r="G245" s="1"/>
  <c r="F243"/>
  <c r="F245" s="1"/>
  <c r="E243"/>
  <c r="E245" s="1"/>
  <c r="D243"/>
  <c r="D245" s="1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O218"/>
  <c r="N218"/>
  <c r="M218"/>
  <c r="L218"/>
  <c r="K218"/>
  <c r="J218"/>
  <c r="I218"/>
  <c r="H218"/>
  <c r="G218"/>
  <c r="F218"/>
  <c r="E218"/>
  <c r="D218"/>
  <c r="O217"/>
  <c r="N217"/>
  <c r="M217"/>
  <c r="L217"/>
  <c r="K217"/>
  <c r="J217"/>
  <c r="I217"/>
  <c r="H217"/>
  <c r="G217"/>
  <c r="F217"/>
  <c r="E217"/>
  <c r="D217"/>
  <c r="O216"/>
  <c r="N216"/>
  <c r="M216"/>
  <c r="L216"/>
  <c r="K216"/>
  <c r="J216"/>
  <c r="I216"/>
  <c r="H216"/>
  <c r="G216"/>
  <c r="F216"/>
  <c r="E216"/>
  <c r="D216"/>
  <c r="O215"/>
  <c r="N215"/>
  <c r="M215"/>
  <c r="L215"/>
  <c r="K215"/>
  <c r="J215"/>
  <c r="I215"/>
  <c r="H215"/>
  <c r="G215"/>
  <c r="F215"/>
  <c r="E215"/>
  <c r="D215"/>
  <c r="O214"/>
  <c r="N214"/>
  <c r="M214"/>
  <c r="L214"/>
  <c r="K214"/>
  <c r="J214"/>
  <c r="I214"/>
  <c r="H214"/>
  <c r="G214"/>
  <c r="F214"/>
  <c r="E214"/>
  <c r="D214"/>
  <c r="O213"/>
  <c r="N213"/>
  <c r="M213"/>
  <c r="L213"/>
  <c r="K213"/>
  <c r="J213"/>
  <c r="I213"/>
  <c r="H213"/>
  <c r="G213"/>
  <c r="F213"/>
  <c r="E213"/>
  <c r="D213"/>
  <c r="O212"/>
  <c r="N212"/>
  <c r="M212"/>
  <c r="L212"/>
  <c r="K212"/>
  <c r="J212"/>
  <c r="I212"/>
  <c r="H212"/>
  <c r="G212"/>
  <c r="F212"/>
  <c r="E212"/>
  <c r="D212"/>
  <c r="O211"/>
  <c r="N211"/>
  <c r="M211"/>
  <c r="L211"/>
  <c r="K211"/>
  <c r="J211"/>
  <c r="I211"/>
  <c r="H211"/>
  <c r="G211"/>
  <c r="F211"/>
  <c r="E211"/>
  <c r="D211"/>
  <c r="O210"/>
  <c r="N210"/>
  <c r="M210"/>
  <c r="L210"/>
  <c r="K210"/>
  <c r="J210"/>
  <c r="I210"/>
  <c r="H210"/>
  <c r="G210"/>
  <c r="F210"/>
  <c r="E210"/>
  <c r="D210"/>
  <c r="O209"/>
  <c r="N209"/>
  <c r="M209"/>
  <c r="L209"/>
  <c r="K209"/>
  <c r="J209"/>
  <c r="I209"/>
  <c r="H209"/>
  <c r="G209"/>
  <c r="F209"/>
  <c r="E209"/>
  <c r="D209"/>
  <c r="O208"/>
  <c r="N208"/>
  <c r="M208"/>
  <c r="L208"/>
  <c r="K208"/>
  <c r="J208"/>
  <c r="I208"/>
  <c r="H208"/>
  <c r="G208"/>
  <c r="F208"/>
  <c r="E208"/>
  <c r="D208"/>
  <c r="O207"/>
  <c r="N207"/>
  <c r="M207"/>
  <c r="L207"/>
  <c r="K207"/>
  <c r="J207"/>
  <c r="I207"/>
  <c r="H207"/>
  <c r="G207"/>
  <c r="F207"/>
  <c r="E207"/>
  <c r="D207"/>
  <c r="O206"/>
  <c r="N206"/>
  <c r="M206"/>
  <c r="L206"/>
  <c r="K206"/>
  <c r="J206"/>
  <c r="I206"/>
  <c r="H206"/>
  <c r="G206"/>
  <c r="F206"/>
  <c r="E206"/>
  <c r="D206"/>
  <c r="O205"/>
  <c r="N205"/>
  <c r="M205"/>
  <c r="L205"/>
  <c r="K205"/>
  <c r="J205"/>
  <c r="I205"/>
  <c r="H205"/>
  <c r="G205"/>
  <c r="F205"/>
  <c r="E205"/>
  <c r="D205"/>
  <c r="O204"/>
  <c r="N204"/>
  <c r="M204"/>
  <c r="L204"/>
  <c r="K204"/>
  <c r="J204"/>
  <c r="I204"/>
  <c r="H204"/>
  <c r="G204"/>
  <c r="F204"/>
  <c r="E204"/>
  <c r="D204"/>
  <c r="O203"/>
  <c r="N203"/>
  <c r="M203"/>
  <c r="L203"/>
  <c r="K203"/>
  <c r="J203"/>
  <c r="I203"/>
  <c r="H203"/>
  <c r="G203"/>
  <c r="F203"/>
  <c r="E203"/>
  <c r="D203"/>
  <c r="O202"/>
  <c r="N202"/>
  <c r="M202"/>
  <c r="L202"/>
  <c r="K202"/>
  <c r="J202"/>
  <c r="I202"/>
  <c r="H202"/>
  <c r="G202"/>
  <c r="F202"/>
  <c r="E202"/>
  <c r="D202"/>
  <c r="O201"/>
  <c r="N201"/>
  <c r="M201"/>
  <c r="L201"/>
  <c r="K201"/>
  <c r="J201"/>
  <c r="I201"/>
  <c r="H201"/>
  <c r="G201"/>
  <c r="F201"/>
  <c r="E201"/>
  <c r="D201"/>
  <c r="O200"/>
  <c r="O219" s="1"/>
  <c r="N200"/>
  <c r="N219" s="1"/>
  <c r="M200"/>
  <c r="M219" s="1"/>
  <c r="L200"/>
  <c r="L219" s="1"/>
  <c r="K200"/>
  <c r="K219" s="1"/>
  <c r="J200"/>
  <c r="J219" s="1"/>
  <c r="I200"/>
  <c r="I219" s="1"/>
  <c r="H200"/>
  <c r="H219" s="1"/>
  <c r="G200"/>
  <c r="G219" s="1"/>
  <c r="F200"/>
  <c r="F219" s="1"/>
  <c r="E200"/>
  <c r="E219" s="1"/>
  <c r="D200"/>
  <c r="O195"/>
  <c r="N195"/>
  <c r="M195"/>
  <c r="L195"/>
  <c r="K195"/>
  <c r="J195"/>
  <c r="I195"/>
  <c r="H195"/>
  <c r="G195"/>
  <c r="F195"/>
  <c r="E195"/>
  <c r="D195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O145"/>
  <c r="N145"/>
  <c r="M145"/>
  <c r="L145"/>
  <c r="K145"/>
  <c r="J145"/>
  <c r="I145"/>
  <c r="H145"/>
  <c r="G145"/>
  <c r="F145"/>
  <c r="E145"/>
  <c r="D145"/>
  <c r="O168"/>
  <c r="N168"/>
  <c r="M168"/>
  <c r="L168"/>
  <c r="K168"/>
  <c r="J168"/>
  <c r="I168"/>
  <c r="H168"/>
  <c r="G168"/>
  <c r="F168"/>
  <c r="E168"/>
  <c r="D168"/>
  <c r="O167"/>
  <c r="N167"/>
  <c r="M167"/>
  <c r="L167"/>
  <c r="K167"/>
  <c r="J167"/>
  <c r="I167"/>
  <c r="H167"/>
  <c r="G167"/>
  <c r="F167"/>
  <c r="E167"/>
  <c r="D167"/>
  <c r="O166"/>
  <c r="N166"/>
  <c r="M166"/>
  <c r="L166"/>
  <c r="K166"/>
  <c r="J166"/>
  <c r="I166"/>
  <c r="H166"/>
  <c r="G166"/>
  <c r="F166"/>
  <c r="E166"/>
  <c r="D166"/>
  <c r="O165"/>
  <c r="N165"/>
  <c r="M165"/>
  <c r="L165"/>
  <c r="K165"/>
  <c r="J165"/>
  <c r="I165"/>
  <c r="H165"/>
  <c r="G165"/>
  <c r="F165"/>
  <c r="E165"/>
  <c r="D165"/>
  <c r="O164"/>
  <c r="N164"/>
  <c r="M164"/>
  <c r="L164"/>
  <c r="K164"/>
  <c r="J164"/>
  <c r="I164"/>
  <c r="H164"/>
  <c r="G164"/>
  <c r="F164"/>
  <c r="E164"/>
  <c r="D164"/>
  <c r="O163"/>
  <c r="N163"/>
  <c r="M163"/>
  <c r="L163"/>
  <c r="K163"/>
  <c r="J163"/>
  <c r="I163"/>
  <c r="H163"/>
  <c r="G163"/>
  <c r="F163"/>
  <c r="E163"/>
  <c r="D163"/>
  <c r="O162"/>
  <c r="N162"/>
  <c r="M162"/>
  <c r="L162"/>
  <c r="K162"/>
  <c r="J162"/>
  <c r="I162"/>
  <c r="H162"/>
  <c r="G162"/>
  <c r="F162"/>
  <c r="E162"/>
  <c r="D162"/>
  <c r="O161"/>
  <c r="N161"/>
  <c r="M161"/>
  <c r="L161"/>
  <c r="K161"/>
  <c r="J161"/>
  <c r="I161"/>
  <c r="H161"/>
  <c r="G161"/>
  <c r="F161"/>
  <c r="E161"/>
  <c r="D161"/>
  <c r="O160"/>
  <c r="N160"/>
  <c r="M160"/>
  <c r="L160"/>
  <c r="K160"/>
  <c r="J160"/>
  <c r="I160"/>
  <c r="H160"/>
  <c r="G160"/>
  <c r="F160"/>
  <c r="E160"/>
  <c r="D160"/>
  <c r="O159"/>
  <c r="N159"/>
  <c r="M159"/>
  <c r="L159"/>
  <c r="K159"/>
  <c r="J159"/>
  <c r="I159"/>
  <c r="H159"/>
  <c r="G159"/>
  <c r="F159"/>
  <c r="E159"/>
  <c r="D159"/>
  <c r="O158"/>
  <c r="N158"/>
  <c r="M158"/>
  <c r="L158"/>
  <c r="K158"/>
  <c r="J158"/>
  <c r="I158"/>
  <c r="H158"/>
  <c r="G158"/>
  <c r="F158"/>
  <c r="E158"/>
  <c r="D158"/>
  <c r="O157"/>
  <c r="N157"/>
  <c r="M157"/>
  <c r="L157"/>
  <c r="K157"/>
  <c r="J157"/>
  <c r="I157"/>
  <c r="H157"/>
  <c r="G157"/>
  <c r="F157"/>
  <c r="E157"/>
  <c r="D157"/>
  <c r="O156"/>
  <c r="N156"/>
  <c r="M156"/>
  <c r="L156"/>
  <c r="K156"/>
  <c r="J156"/>
  <c r="I156"/>
  <c r="H156"/>
  <c r="G156"/>
  <c r="F156"/>
  <c r="E156"/>
  <c r="D156"/>
  <c r="O155"/>
  <c r="N155"/>
  <c r="M155"/>
  <c r="L155"/>
  <c r="K155"/>
  <c r="J155"/>
  <c r="I155"/>
  <c r="H155"/>
  <c r="G155"/>
  <c r="F155"/>
  <c r="E155"/>
  <c r="D155"/>
  <c r="O154"/>
  <c r="N154"/>
  <c r="M154"/>
  <c r="L154"/>
  <c r="K154"/>
  <c r="J154"/>
  <c r="I154"/>
  <c r="H154"/>
  <c r="G154"/>
  <c r="F154"/>
  <c r="E154"/>
  <c r="D154"/>
  <c r="O153"/>
  <c r="N153"/>
  <c r="M153"/>
  <c r="L153"/>
  <c r="K153"/>
  <c r="J153"/>
  <c r="I153"/>
  <c r="H153"/>
  <c r="G153"/>
  <c r="F153"/>
  <c r="E153"/>
  <c r="D153"/>
  <c r="O152"/>
  <c r="N152"/>
  <c r="M152"/>
  <c r="L152"/>
  <c r="K152"/>
  <c r="J152"/>
  <c r="I152"/>
  <c r="H152"/>
  <c r="G152"/>
  <c r="F152"/>
  <c r="E152"/>
  <c r="D152"/>
  <c r="O151"/>
  <c r="N151"/>
  <c r="M151"/>
  <c r="L151"/>
  <c r="K151"/>
  <c r="J151"/>
  <c r="I151"/>
  <c r="H151"/>
  <c r="G151"/>
  <c r="F151"/>
  <c r="E151"/>
  <c r="D151"/>
  <c r="D150"/>
  <c r="O150"/>
  <c r="N150"/>
  <c r="M150"/>
  <c r="L150"/>
  <c r="K150"/>
  <c r="J150"/>
  <c r="I150"/>
  <c r="H150"/>
  <c r="G150"/>
  <c r="F150"/>
  <c r="E150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44"/>
  <c r="P43"/>
  <c r="P42"/>
  <c r="O118"/>
  <c r="O21" s="1"/>
  <c r="N118"/>
  <c r="N21" s="1"/>
  <c r="M118"/>
  <c r="M21" s="1"/>
  <c r="L118"/>
  <c r="L21" s="1"/>
  <c r="K118"/>
  <c r="K21" s="1"/>
  <c r="J118"/>
  <c r="I118"/>
  <c r="I21" s="1"/>
  <c r="H118"/>
  <c r="H21" s="1"/>
  <c r="G118"/>
  <c r="G21" s="1"/>
  <c r="F118"/>
  <c r="F21" s="1"/>
  <c r="E118"/>
  <c r="E21" s="1"/>
  <c r="D118"/>
  <c r="O117"/>
  <c r="N117"/>
  <c r="M117"/>
  <c r="L117"/>
  <c r="K117"/>
  <c r="J117"/>
  <c r="I117"/>
  <c r="H117"/>
  <c r="G117"/>
  <c r="F117"/>
  <c r="E117"/>
  <c r="D117"/>
  <c r="O116"/>
  <c r="O19" s="1"/>
  <c r="N116"/>
  <c r="N19" s="1"/>
  <c r="M116"/>
  <c r="M19" s="1"/>
  <c r="L116"/>
  <c r="L19" s="1"/>
  <c r="K116"/>
  <c r="K19" s="1"/>
  <c r="J116"/>
  <c r="I116"/>
  <c r="I19" s="1"/>
  <c r="H116"/>
  <c r="H19" s="1"/>
  <c r="G116"/>
  <c r="G19" s="1"/>
  <c r="F116"/>
  <c r="F19" s="1"/>
  <c r="E116"/>
  <c r="E19" s="1"/>
  <c r="D116"/>
  <c r="O115"/>
  <c r="N115"/>
  <c r="M115"/>
  <c r="L115"/>
  <c r="K115"/>
  <c r="J115"/>
  <c r="I115"/>
  <c r="H115"/>
  <c r="G115"/>
  <c r="F115"/>
  <c r="E115"/>
  <c r="D115"/>
  <c r="O114"/>
  <c r="N114"/>
  <c r="M114"/>
  <c r="L114"/>
  <c r="K114"/>
  <c r="J114"/>
  <c r="I114"/>
  <c r="H114"/>
  <c r="G114"/>
  <c r="F114"/>
  <c r="E114"/>
  <c r="D114"/>
  <c r="O113"/>
  <c r="N113"/>
  <c r="M113"/>
  <c r="L113"/>
  <c r="K113"/>
  <c r="J113"/>
  <c r="I113"/>
  <c r="H113"/>
  <c r="G113"/>
  <c r="F113"/>
  <c r="E113"/>
  <c r="D113"/>
  <c r="O112"/>
  <c r="N112"/>
  <c r="M112"/>
  <c r="L112"/>
  <c r="K112"/>
  <c r="J112"/>
  <c r="I112"/>
  <c r="H112"/>
  <c r="G112"/>
  <c r="F112"/>
  <c r="E112"/>
  <c r="D112"/>
  <c r="O111"/>
  <c r="N111"/>
  <c r="M111"/>
  <c r="L111"/>
  <c r="K111"/>
  <c r="J111"/>
  <c r="I111"/>
  <c r="H111"/>
  <c r="G111"/>
  <c r="F111"/>
  <c r="E111"/>
  <c r="D111"/>
  <c r="O110"/>
  <c r="N110"/>
  <c r="M110"/>
  <c r="L110"/>
  <c r="K110"/>
  <c r="J110"/>
  <c r="I110"/>
  <c r="H110"/>
  <c r="G110"/>
  <c r="F110"/>
  <c r="E110"/>
  <c r="D110"/>
  <c r="O109"/>
  <c r="N109"/>
  <c r="M109"/>
  <c r="L109"/>
  <c r="K109"/>
  <c r="J109"/>
  <c r="I109"/>
  <c r="H109"/>
  <c r="G109"/>
  <c r="F109"/>
  <c r="E109"/>
  <c r="D109"/>
  <c r="O108"/>
  <c r="N108"/>
  <c r="M108"/>
  <c r="L108"/>
  <c r="K108"/>
  <c r="J108"/>
  <c r="I108"/>
  <c r="H108"/>
  <c r="G108"/>
  <c r="F108"/>
  <c r="E108"/>
  <c r="D108"/>
  <c r="O107"/>
  <c r="N107"/>
  <c r="M107"/>
  <c r="L107"/>
  <c r="K107"/>
  <c r="J107"/>
  <c r="I107"/>
  <c r="H107"/>
  <c r="G107"/>
  <c r="F107"/>
  <c r="E107"/>
  <c r="D107"/>
  <c r="O106"/>
  <c r="N106"/>
  <c r="M106"/>
  <c r="L106"/>
  <c r="K106"/>
  <c r="J106"/>
  <c r="I106"/>
  <c r="H106"/>
  <c r="G106"/>
  <c r="F106"/>
  <c r="E106"/>
  <c r="D106"/>
  <c r="O105"/>
  <c r="N105"/>
  <c r="M105"/>
  <c r="L105"/>
  <c r="K105"/>
  <c r="J105"/>
  <c r="I105"/>
  <c r="H105"/>
  <c r="G105"/>
  <c r="F105"/>
  <c r="E105"/>
  <c r="D105"/>
  <c r="O104"/>
  <c r="N104"/>
  <c r="M104"/>
  <c r="L104"/>
  <c r="K104"/>
  <c r="J104"/>
  <c r="I104"/>
  <c r="H104"/>
  <c r="G104"/>
  <c r="F104"/>
  <c r="E104"/>
  <c r="D104"/>
  <c r="O103"/>
  <c r="N103"/>
  <c r="M103"/>
  <c r="L103"/>
  <c r="K103"/>
  <c r="J103"/>
  <c r="I103"/>
  <c r="H103"/>
  <c r="G103"/>
  <c r="F103"/>
  <c r="E103"/>
  <c r="D103"/>
  <c r="O102"/>
  <c r="N102"/>
  <c r="M102"/>
  <c r="L102"/>
  <c r="K102"/>
  <c r="J102"/>
  <c r="I102"/>
  <c r="H102"/>
  <c r="G102"/>
  <c r="F102"/>
  <c r="E102"/>
  <c r="D102"/>
  <c r="O101"/>
  <c r="N101"/>
  <c r="M101"/>
  <c r="L101"/>
  <c r="K101"/>
  <c r="J101"/>
  <c r="I101"/>
  <c r="H101"/>
  <c r="G101"/>
  <c r="F101"/>
  <c r="E101"/>
  <c r="D101"/>
  <c r="O100"/>
  <c r="N100"/>
  <c r="N119" s="1"/>
  <c r="M100"/>
  <c r="L100"/>
  <c r="L119" s="1"/>
  <c r="K100"/>
  <c r="K119" s="1"/>
  <c r="J100"/>
  <c r="I100"/>
  <c r="H100"/>
  <c r="G100"/>
  <c r="G119" s="1"/>
  <c r="F100"/>
  <c r="E100"/>
  <c r="D100"/>
  <c r="D119" s="1"/>
  <c r="O93"/>
  <c r="O95" s="1"/>
  <c r="N93"/>
  <c r="N95" s="1"/>
  <c r="M93"/>
  <c r="M95" s="1"/>
  <c r="L93"/>
  <c r="L95" s="1"/>
  <c r="K93"/>
  <c r="K95" s="1"/>
  <c r="J93"/>
  <c r="J95" s="1"/>
  <c r="I93"/>
  <c r="I95" s="1"/>
  <c r="H93"/>
  <c r="H95" s="1"/>
  <c r="G93"/>
  <c r="G95" s="1"/>
  <c r="F93"/>
  <c r="F95" s="1"/>
  <c r="E93"/>
  <c r="E95" s="1"/>
  <c r="D93"/>
  <c r="D95" s="1"/>
  <c r="O68"/>
  <c r="O67"/>
  <c r="O18" s="1"/>
  <c r="O66"/>
  <c r="O65"/>
  <c r="O64"/>
  <c r="O63"/>
  <c r="O62"/>
  <c r="O13" s="1"/>
  <c r="O61"/>
  <c r="O12" s="1"/>
  <c r="O60"/>
  <c r="O59"/>
  <c r="O58"/>
  <c r="O57"/>
  <c r="O56"/>
  <c r="O7" s="1"/>
  <c r="O55"/>
  <c r="O54"/>
  <c r="O53"/>
  <c r="M68"/>
  <c r="M67"/>
  <c r="M66"/>
  <c r="M65"/>
  <c r="M64"/>
  <c r="M63"/>
  <c r="M62"/>
  <c r="M61"/>
  <c r="M60"/>
  <c r="M59"/>
  <c r="M58"/>
  <c r="M57"/>
  <c r="M56"/>
  <c r="M55"/>
  <c r="M54"/>
  <c r="M53"/>
  <c r="K68"/>
  <c r="K67"/>
  <c r="K66"/>
  <c r="K65"/>
  <c r="K64"/>
  <c r="K63"/>
  <c r="K62"/>
  <c r="K61"/>
  <c r="K60"/>
  <c r="K59"/>
  <c r="K58"/>
  <c r="K57"/>
  <c r="K56"/>
  <c r="K55"/>
  <c r="K54"/>
  <c r="K53"/>
  <c r="J68"/>
  <c r="J67"/>
  <c r="J66"/>
  <c r="J65"/>
  <c r="J64"/>
  <c r="J63"/>
  <c r="J62"/>
  <c r="J61"/>
  <c r="J60"/>
  <c r="J59"/>
  <c r="J58"/>
  <c r="J57"/>
  <c r="J56"/>
  <c r="J55"/>
  <c r="J54"/>
  <c r="J53"/>
  <c r="H68"/>
  <c r="H67"/>
  <c r="H66"/>
  <c r="H65"/>
  <c r="H64"/>
  <c r="H63"/>
  <c r="H62"/>
  <c r="H61"/>
  <c r="H60"/>
  <c r="H59"/>
  <c r="H58"/>
  <c r="H57"/>
  <c r="H56"/>
  <c r="H55"/>
  <c r="H54"/>
  <c r="H53"/>
  <c r="F68"/>
  <c r="F67"/>
  <c r="F66"/>
  <c r="F65"/>
  <c r="F64"/>
  <c r="F63"/>
  <c r="F62"/>
  <c r="F61"/>
  <c r="F60"/>
  <c r="F59"/>
  <c r="F58"/>
  <c r="F57"/>
  <c r="F56"/>
  <c r="F55"/>
  <c r="F54"/>
  <c r="F53"/>
  <c r="F3"/>
  <c r="D68"/>
  <c r="D67"/>
  <c r="D18" s="1"/>
  <c r="D66"/>
  <c r="D65"/>
  <c r="D64"/>
  <c r="D63"/>
  <c r="D62"/>
  <c r="D61"/>
  <c r="D60"/>
  <c r="D59"/>
  <c r="D58"/>
  <c r="D57"/>
  <c r="D56"/>
  <c r="D55"/>
  <c r="D54"/>
  <c r="D53"/>
  <c r="D4" s="1"/>
  <c r="E68"/>
  <c r="E67"/>
  <c r="E66"/>
  <c r="E65"/>
  <c r="E64"/>
  <c r="E63"/>
  <c r="E62"/>
  <c r="E61"/>
  <c r="E60"/>
  <c r="E59"/>
  <c r="E58"/>
  <c r="E57"/>
  <c r="E56"/>
  <c r="E55"/>
  <c r="E54"/>
  <c r="E53"/>
  <c r="N68"/>
  <c r="N67"/>
  <c r="N66"/>
  <c r="N65"/>
  <c r="N64"/>
  <c r="N63"/>
  <c r="N62"/>
  <c r="N61"/>
  <c r="N60"/>
  <c r="N59"/>
  <c r="N58"/>
  <c r="N57"/>
  <c r="N56"/>
  <c r="N55"/>
  <c r="N54"/>
  <c r="N53"/>
  <c r="I68"/>
  <c r="I67"/>
  <c r="I66"/>
  <c r="I17" s="1"/>
  <c r="I65"/>
  <c r="I64"/>
  <c r="I15" s="1"/>
  <c r="I63"/>
  <c r="I14" s="1"/>
  <c r="I62"/>
  <c r="I13" s="1"/>
  <c r="I61"/>
  <c r="I60"/>
  <c r="I59"/>
  <c r="I58"/>
  <c r="I9" s="1"/>
  <c r="I57"/>
  <c r="I8" s="1"/>
  <c r="I56"/>
  <c r="I7" s="1"/>
  <c r="I55"/>
  <c r="I54"/>
  <c r="I53"/>
  <c r="I3"/>
  <c r="L68"/>
  <c r="L67"/>
  <c r="L66"/>
  <c r="L65"/>
  <c r="L64"/>
  <c r="L63"/>
  <c r="L62"/>
  <c r="L61"/>
  <c r="L60"/>
  <c r="L59"/>
  <c r="L58"/>
  <c r="L57"/>
  <c r="L56"/>
  <c r="L55"/>
  <c r="L54"/>
  <c r="L53"/>
  <c r="G68"/>
  <c r="G67"/>
  <c r="G66"/>
  <c r="G65"/>
  <c r="G64"/>
  <c r="G63"/>
  <c r="G62"/>
  <c r="G61"/>
  <c r="G60"/>
  <c r="G59"/>
  <c r="G58"/>
  <c r="G57"/>
  <c r="G56"/>
  <c r="G55"/>
  <c r="G54"/>
  <c r="G53"/>
  <c r="O45"/>
  <c r="O47" s="1"/>
  <c r="N45"/>
  <c r="N47" s="1"/>
  <c r="M45"/>
  <c r="M47" s="1"/>
  <c r="L45"/>
  <c r="L47" s="1"/>
  <c r="K45"/>
  <c r="K47" s="1"/>
  <c r="J45"/>
  <c r="J47" s="1"/>
  <c r="I45"/>
  <c r="I47" s="1"/>
  <c r="H45"/>
  <c r="H47" s="1"/>
  <c r="G45"/>
  <c r="G47" s="1"/>
  <c r="F45"/>
  <c r="F47" s="1"/>
  <c r="E45"/>
  <c r="E47" s="1"/>
  <c r="D45"/>
  <c r="Q12" i="23"/>
  <c r="U12"/>
  <c r="T12"/>
  <c r="S12"/>
  <c r="R12"/>
  <c r="P12"/>
  <c r="L171"/>
  <c r="J171"/>
  <c r="I171"/>
  <c r="U166"/>
  <c r="T166"/>
  <c r="S166"/>
  <c r="R166"/>
  <c r="Q166"/>
  <c r="P166"/>
  <c r="O166"/>
  <c r="N166"/>
  <c r="M166"/>
  <c r="L166"/>
  <c r="K166"/>
  <c r="J166"/>
  <c r="I166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2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Q2"/>
  <c r="T2"/>
  <c r="S2"/>
  <c r="R2"/>
  <c r="P2"/>
  <c r="O2"/>
  <c r="N2"/>
  <c r="M2"/>
  <c r="L2"/>
  <c r="K2"/>
  <c r="V2" s="1"/>
  <c r="AC67" i="28" l="1"/>
  <c r="AC51"/>
  <c r="AC42"/>
  <c r="AC44"/>
  <c r="AC33"/>
  <c r="AC27"/>
  <c r="AC39"/>
  <c r="AC65"/>
  <c r="AC52"/>
  <c r="AC54"/>
  <c r="AC61"/>
  <c r="AC55"/>
  <c r="AC62"/>
  <c r="AB30"/>
  <c r="AB29"/>
  <c r="AC63"/>
  <c r="AC66"/>
  <c r="Z30"/>
  <c r="Z29"/>
  <c r="AC29" s="1"/>
  <c r="AC40"/>
  <c r="AC41"/>
  <c r="AC43"/>
  <c r="AC53"/>
  <c r="Z5"/>
  <c r="AC5" s="1"/>
  <c r="AC16"/>
  <c r="AC21"/>
  <c r="AC17"/>
  <c r="AC18"/>
  <c r="AC20"/>
  <c r="AC32"/>
  <c r="AC28"/>
  <c r="AC31"/>
  <c r="O8" i="31"/>
  <c r="O14"/>
  <c r="J4"/>
  <c r="D6"/>
  <c r="J6"/>
  <c r="D7"/>
  <c r="J7"/>
  <c r="J8"/>
  <c r="D9"/>
  <c r="J9"/>
  <c r="D10"/>
  <c r="J10"/>
  <c r="D12"/>
  <c r="J12"/>
  <c r="J13"/>
  <c r="D15"/>
  <c r="J15"/>
  <c r="D16"/>
  <c r="J18"/>
  <c r="P19"/>
  <c r="J19"/>
  <c r="D21"/>
  <c r="J21"/>
  <c r="O6"/>
  <c r="H119"/>
  <c r="I6"/>
  <c r="I12"/>
  <c r="I18"/>
  <c r="D5"/>
  <c r="K3"/>
  <c r="O5"/>
  <c r="O11"/>
  <c r="O17"/>
  <c r="G5"/>
  <c r="M5"/>
  <c r="G8"/>
  <c r="M8"/>
  <c r="G9"/>
  <c r="M9"/>
  <c r="G11"/>
  <c r="M11"/>
  <c r="G14"/>
  <c r="M14"/>
  <c r="M15"/>
  <c r="G17"/>
  <c r="M17"/>
  <c r="I5"/>
  <c r="I11"/>
  <c r="O4"/>
  <c r="O10"/>
  <c r="O16"/>
  <c r="F4"/>
  <c r="L9"/>
  <c r="F10"/>
  <c r="L15"/>
  <c r="F16"/>
  <c r="I4"/>
  <c r="I10"/>
  <c r="I16"/>
  <c r="O9"/>
  <c r="O15"/>
  <c r="M4"/>
  <c r="F5"/>
  <c r="L8"/>
  <c r="E3"/>
  <c r="E4"/>
  <c r="P4" s="1"/>
  <c r="K4"/>
  <c r="E5"/>
  <c r="K5"/>
  <c r="E6"/>
  <c r="K6"/>
  <c r="E7"/>
  <c r="K7"/>
  <c r="E8"/>
  <c r="K8"/>
  <c r="E9"/>
  <c r="K9"/>
  <c r="E10"/>
  <c r="K10"/>
  <c r="E11"/>
  <c r="K11"/>
  <c r="E12"/>
  <c r="K12"/>
  <c r="E13"/>
  <c r="K13"/>
  <c r="E14"/>
  <c r="K14"/>
  <c r="E15"/>
  <c r="K15"/>
  <c r="E16"/>
  <c r="K16"/>
  <c r="E17"/>
  <c r="K17"/>
  <c r="E18"/>
  <c r="P18" s="1"/>
  <c r="K18"/>
  <c r="J119"/>
  <c r="J5"/>
  <c r="D8"/>
  <c r="D11"/>
  <c r="J11"/>
  <c r="D13"/>
  <c r="D14"/>
  <c r="J14"/>
  <c r="J16"/>
  <c r="D17"/>
  <c r="J17"/>
  <c r="H4"/>
  <c r="N4"/>
  <c r="H5"/>
  <c r="N5"/>
  <c r="H6"/>
  <c r="N6"/>
  <c r="H7"/>
  <c r="N7"/>
  <c r="H8"/>
  <c r="N8"/>
  <c r="H9"/>
  <c r="N9"/>
  <c r="H10"/>
  <c r="N10"/>
  <c r="H11"/>
  <c r="N11"/>
  <c r="H12"/>
  <c r="N12"/>
  <c r="H13"/>
  <c r="N13"/>
  <c r="H14"/>
  <c r="N14"/>
  <c r="H15"/>
  <c r="N15"/>
  <c r="H16"/>
  <c r="N16"/>
  <c r="H17"/>
  <c r="N17"/>
  <c r="H18"/>
  <c r="N18"/>
  <c r="G4"/>
  <c r="G6"/>
  <c r="M6"/>
  <c r="G7"/>
  <c r="M7"/>
  <c r="G10"/>
  <c r="M10"/>
  <c r="G12"/>
  <c r="M12"/>
  <c r="G13"/>
  <c r="M13"/>
  <c r="G15"/>
  <c r="G16"/>
  <c r="M16"/>
  <c r="G18"/>
  <c r="M18"/>
  <c r="L4"/>
  <c r="L5"/>
  <c r="F6"/>
  <c r="L6"/>
  <c r="F7"/>
  <c r="L7"/>
  <c r="F8"/>
  <c r="F9"/>
  <c r="L10"/>
  <c r="F11"/>
  <c r="L11"/>
  <c r="F12"/>
  <c r="L12"/>
  <c r="F13"/>
  <c r="L13"/>
  <c r="F14"/>
  <c r="L14"/>
  <c r="F15"/>
  <c r="L16"/>
  <c r="F17"/>
  <c r="L17"/>
  <c r="F18"/>
  <c r="L18"/>
  <c r="M119"/>
  <c r="G3"/>
  <c r="M3"/>
  <c r="N3"/>
  <c r="H3"/>
  <c r="J3"/>
  <c r="L3"/>
  <c r="O3"/>
  <c r="I119"/>
  <c r="O119"/>
  <c r="E319"/>
  <c r="D219"/>
  <c r="E119"/>
  <c r="F119"/>
  <c r="H169"/>
  <c r="N169"/>
  <c r="P293"/>
  <c r="P295" s="1"/>
  <c r="P243"/>
  <c r="P245" s="1"/>
  <c r="E169"/>
  <c r="K169"/>
  <c r="G169"/>
  <c r="M169"/>
  <c r="F169"/>
  <c r="L169"/>
  <c r="P193"/>
  <c r="P195" s="1"/>
  <c r="J169"/>
  <c r="D169"/>
  <c r="P93"/>
  <c r="P95" s="1"/>
  <c r="I169"/>
  <c r="O169"/>
  <c r="P143"/>
  <c r="P145" s="1"/>
  <c r="F69"/>
  <c r="D69"/>
  <c r="P45"/>
  <c r="P47" s="1"/>
  <c r="G69"/>
  <c r="M69"/>
  <c r="E69"/>
  <c r="L69"/>
  <c r="O69"/>
  <c r="I69"/>
  <c r="N69"/>
  <c r="H69"/>
  <c r="J69"/>
  <c r="K69"/>
  <c r="Q191" i="23"/>
  <c r="R191"/>
  <c r="J201" s="1"/>
  <c r="K191"/>
  <c r="K198" s="1"/>
  <c r="M198" s="1"/>
  <c r="M191"/>
  <c r="J191"/>
  <c r="J197" s="1"/>
  <c r="I191"/>
  <c r="S191"/>
  <c r="T191"/>
  <c r="J202" s="1"/>
  <c r="N191"/>
  <c r="J199" s="1"/>
  <c r="P191"/>
  <c r="J200" s="1"/>
  <c r="L191"/>
  <c r="J198" s="1"/>
  <c r="O191"/>
  <c r="AC56" i="28" l="1"/>
  <c r="AC45"/>
  <c r="AC68"/>
  <c r="AC30"/>
  <c r="AC34" s="1"/>
  <c r="AC22"/>
  <c r="AC7"/>
  <c r="AC6"/>
  <c r="E22" i="31"/>
  <c r="H22"/>
  <c r="I22"/>
  <c r="K22"/>
  <c r="P3"/>
  <c r="P13"/>
  <c r="P5"/>
  <c r="P10"/>
  <c r="P14"/>
  <c r="P16"/>
  <c r="P7"/>
  <c r="P12"/>
  <c r="P8"/>
  <c r="G22"/>
  <c r="P17"/>
  <c r="P11"/>
  <c r="F22"/>
  <c r="P9"/>
  <c r="O22"/>
  <c r="M22"/>
  <c r="P21"/>
  <c r="P15"/>
  <c r="P6"/>
  <c r="L22"/>
  <c r="J22"/>
  <c r="N22"/>
  <c r="D22"/>
  <c r="K197" i="23"/>
  <c r="M197" s="1"/>
  <c r="K196"/>
  <c r="M196" s="1"/>
  <c r="K199"/>
  <c r="M199" s="1"/>
  <c r="K200"/>
  <c r="M200" s="1"/>
  <c r="K202"/>
  <c r="M202" s="1"/>
  <c r="K201"/>
  <c r="M201" s="1"/>
  <c r="AC8" i="28" l="1"/>
  <c r="P20" i="31"/>
  <c r="P22" s="1"/>
  <c r="W2" i="23"/>
  <c r="X2" s="1"/>
  <c r="AC9" i="28" l="1"/>
  <c r="AC10"/>
  <c r="AC11" l="1"/>
</calcChain>
</file>

<file path=xl/sharedStrings.xml><?xml version="1.0" encoding="utf-8"?>
<sst xmlns="http://schemas.openxmlformats.org/spreadsheetml/2006/main" count="1824" uniqueCount="292">
  <si>
    <t>ADDRESS</t>
  </si>
  <si>
    <t>Premise#</t>
  </si>
  <si>
    <t>Outfall Area</t>
  </si>
  <si>
    <t>PROPERTY TYPE</t>
  </si>
  <si>
    <t>Tap Size</t>
  </si>
  <si>
    <t>SFRE</t>
  </si>
  <si>
    <t>Tapped to Metro Line</t>
  </si>
  <si>
    <t>*</t>
  </si>
  <si>
    <t>NONE</t>
  </si>
  <si>
    <t>No</t>
  </si>
  <si>
    <t>COMMERCIAL</t>
  </si>
  <si>
    <t>Lowell Meter (L-3)</t>
  </si>
  <si>
    <t>1"</t>
  </si>
  <si>
    <t>3333 W REGIS BLVD</t>
  </si>
  <si>
    <t>Upstream MH</t>
  </si>
  <si>
    <t>#</t>
  </si>
  <si>
    <t>TAPPED INTO L-12</t>
  </si>
  <si>
    <t>Consumption (2014) MG</t>
  </si>
  <si>
    <t>Consumption (2015) MG</t>
  </si>
  <si>
    <t>Consumption (2016) MG</t>
  </si>
  <si>
    <t>Consumption (2017) MG</t>
  </si>
  <si>
    <t>Consumption (2018) MG</t>
  </si>
  <si>
    <t>Consumption (2019) MG</t>
  </si>
  <si>
    <t>Consumption (2020) MG</t>
  </si>
  <si>
    <t>Consumption (2021) MG</t>
  </si>
  <si>
    <t>Consumption (2022) MG</t>
  </si>
  <si>
    <t>Consumption (2023) MG</t>
  </si>
  <si>
    <t>Average (MG)</t>
  </si>
  <si>
    <t xml:space="preserve">Average Daily </t>
  </si>
  <si>
    <t>12 Month Millions of Gal</t>
  </si>
  <si>
    <t>3333 REGIS BLVD</t>
  </si>
  <si>
    <t>Premise ID</t>
  </si>
  <si>
    <t>Meter#</t>
  </si>
  <si>
    <t>Jan Qty</t>
  </si>
  <si>
    <t>Feb Qty</t>
  </si>
  <si>
    <t>Mar Qty</t>
  </si>
  <si>
    <t>Apr Qty</t>
  </si>
  <si>
    <t>May Qty</t>
  </si>
  <si>
    <t>Jun Qty</t>
  </si>
  <si>
    <t>Jul Qty</t>
  </si>
  <si>
    <t>Aug Qty</t>
  </si>
  <si>
    <t>Sep Qty</t>
  </si>
  <si>
    <t>Oct Qty</t>
  </si>
  <si>
    <t>Nov Qty</t>
  </si>
  <si>
    <t>Dec Qty</t>
  </si>
  <si>
    <t>292008</t>
  </si>
  <si>
    <t>324440</t>
  </si>
  <si>
    <t>324441</t>
  </si>
  <si>
    <t>324475</t>
  </si>
  <si>
    <t>324482</t>
  </si>
  <si>
    <t>339143</t>
  </si>
  <si>
    <t>346934</t>
  </si>
  <si>
    <t>363087</t>
  </si>
  <si>
    <t>394593</t>
  </si>
  <si>
    <t>394880</t>
  </si>
  <si>
    <t>429098</t>
  </si>
  <si>
    <t>429104</t>
  </si>
  <si>
    <t>429214</t>
  </si>
  <si>
    <t>429215</t>
  </si>
  <si>
    <t>429985</t>
  </si>
  <si>
    <t>440606</t>
  </si>
  <si>
    <t>440683</t>
  </si>
  <si>
    <t>454889</t>
  </si>
  <si>
    <t>477980</t>
  </si>
  <si>
    <t>Converted</t>
  </si>
  <si>
    <t>Report 1</t>
  </si>
  <si>
    <t>Report 2</t>
  </si>
  <si>
    <t>Report 3</t>
  </si>
  <si>
    <t>Report 4</t>
  </si>
  <si>
    <t>Report 5</t>
  </si>
  <si>
    <t>Report 6</t>
  </si>
  <si>
    <t>Report 7</t>
  </si>
  <si>
    <t>Monthly (thousands)</t>
  </si>
  <si>
    <t>Daily Average</t>
  </si>
  <si>
    <t>Metro Conversion</t>
  </si>
  <si>
    <t># of Days</t>
  </si>
  <si>
    <t>2024 Report</t>
  </si>
  <si>
    <t>1/1/24 - 1/5/24</t>
  </si>
  <si>
    <t>1/6/24 - 3/11/24</t>
  </si>
  <si>
    <t>3/12/24 - 5/13/24</t>
  </si>
  <si>
    <t>5/14/24 - 7/15/24</t>
  </si>
  <si>
    <t>7/16/24 - 9/16/24</t>
  </si>
  <si>
    <t>9/17/24 - 11/18/24</t>
  </si>
  <si>
    <t>11/19/24 - 12/31/24</t>
  </si>
  <si>
    <t>Rep Period</t>
  </si>
  <si>
    <t>Sample Dates</t>
  </si>
  <si>
    <t>11/28/2023 - 12/04/2023</t>
  </si>
  <si>
    <t>2/6/2024 - 2/12/2024</t>
  </si>
  <si>
    <t>4/9/2024 - 4/15/2024</t>
  </si>
  <si>
    <t>6/11/2024 - 6/17/2024</t>
  </si>
  <si>
    <t>8/13/24 - 8/19/2024</t>
  </si>
  <si>
    <t>10/15/2024 - 10/21/2024</t>
  </si>
  <si>
    <t>12/16/2024 - 12/22/2024</t>
  </si>
  <si>
    <t>Usage</t>
  </si>
  <si>
    <t>Estimate for Period</t>
  </si>
  <si>
    <t>Flow MG</t>
  </si>
  <si>
    <t>BOD Estimate</t>
  </si>
  <si>
    <t>SS Estimate</t>
  </si>
  <si>
    <t>TKN Estimate</t>
  </si>
  <si>
    <t>Consumption (2024) MG</t>
  </si>
  <si>
    <t>Total Qty</t>
  </si>
  <si>
    <t>Difference</t>
  </si>
  <si>
    <t>Denver Usage</t>
  </si>
  <si>
    <t xml:space="preserve">Calculation of Flows and Loadings Cost </t>
  </si>
  <si>
    <t>Average Daily</t>
  </si>
  <si>
    <t>Report Date</t>
  </si>
  <si>
    <t>Period Sampled</t>
  </si>
  <si>
    <t>Representative Period</t>
  </si>
  <si>
    <t>Metro Reports 2024</t>
  </si>
  <si>
    <t>01/01/2024 - 01/05/2024</t>
  </si>
  <si>
    <t>1/6/2024 - 3/11/2024</t>
  </si>
  <si>
    <t>3/12/2024 - 5/13/2024</t>
  </si>
  <si>
    <t>5/14/2024 - 7/15/2024</t>
  </si>
  <si>
    <t>7/16/2024 - 9/16/2024</t>
  </si>
  <si>
    <t>9/17/2024 - 11/18/2024</t>
  </si>
  <si>
    <t>11/18/2024 - 12/31/2024</t>
  </si>
  <si>
    <t>Regis Flow (MG)</t>
  </si>
  <si>
    <t>Regis BOD (Tons)</t>
  </si>
  <si>
    <t>Regis SS (Tons)</t>
  </si>
  <si>
    <t>Regis TKN (Tons)</t>
  </si>
  <si>
    <t>Daily Flow (MG)</t>
  </si>
  <si>
    <t>11/06/2014 - 11/12/2014</t>
  </si>
  <si>
    <t>2/26/2015 - 3/4/2015</t>
  </si>
  <si>
    <t>4/22/2015 - 4/28/2015</t>
  </si>
  <si>
    <t>6/6/2015 - 8/17/2015</t>
  </si>
  <si>
    <t>9/15/2015 - 9/21/2015</t>
  </si>
  <si>
    <t>11/9/2015 - 11/12/2015</t>
  </si>
  <si>
    <t>01/01/2015 - 01/04/2015</t>
  </si>
  <si>
    <t>01/05/2015 - 03/28/2015</t>
  </si>
  <si>
    <t>03/29/2015 - 06/05/2015</t>
  </si>
  <si>
    <t>06/06/2015 - 08/17/2015</t>
  </si>
  <si>
    <t>08/18/2015 - 10/13/2015</t>
  </si>
  <si>
    <t>10/14/2015 - 12/31/2015</t>
  </si>
  <si>
    <t>Metro Reports 2015</t>
  </si>
  <si>
    <t>Corrected Estimated Based on Metro Flow/4-1 Tabel-Multi Family</t>
  </si>
  <si>
    <t>BOD Difference</t>
  </si>
  <si>
    <t>SS Difference</t>
  </si>
  <si>
    <t>TKN Difference</t>
  </si>
  <si>
    <t>1/17/2023 - 1/23/2023</t>
  </si>
  <si>
    <t>1/1/2023 - 2/20/2023</t>
  </si>
  <si>
    <t>3/21/2023 - 3/27/2023</t>
  </si>
  <si>
    <t>2/21/2023 - 4/24/2023</t>
  </si>
  <si>
    <t>5/23/2023 - 5/29/2023</t>
  </si>
  <si>
    <t>4/25/2023 - 6/26/2023</t>
  </si>
  <si>
    <t>7/25/2023 - 7/31/2023</t>
  </si>
  <si>
    <t>6/27/2023 - 9/2/2023</t>
  </si>
  <si>
    <t>10/5/2023 - 10/11/2023</t>
  </si>
  <si>
    <t>9/3/2023 - 11/4/2023</t>
  </si>
  <si>
    <t>11/05/2023 - 12/31/2023</t>
  </si>
  <si>
    <t>Metro Reports 2023</t>
  </si>
  <si>
    <t>2/2/2022 - 2/8/2022</t>
  </si>
  <si>
    <t>1/1/2022 - 3/9/2022</t>
  </si>
  <si>
    <t>4/7/2022 - 4/12/2022</t>
  </si>
  <si>
    <t>3/10/2022 - 5/21/2022</t>
  </si>
  <si>
    <t>6/29/2022 - 7/5/2022</t>
  </si>
  <si>
    <t>5/22/2022 - 8/2/2022</t>
  </si>
  <si>
    <t>8/31/22 - 9/6/22</t>
  </si>
  <si>
    <t>8/3/22 - 10/04/22</t>
  </si>
  <si>
    <t>11/02/2022 - 11/08/2022</t>
  </si>
  <si>
    <t>10/05/2022 - 12/13/2022</t>
  </si>
  <si>
    <t>12/14/2022 - 12/31/2022</t>
  </si>
  <si>
    <t>Metro Reports 2022</t>
  </si>
  <si>
    <t>Metro Reports 2021</t>
  </si>
  <si>
    <t>1/14/2021 - 1/20/2021</t>
  </si>
  <si>
    <t>1/1/2021 - 2/17/2021</t>
  </si>
  <si>
    <t>3/18/2021 - 3/31/2021</t>
  </si>
  <si>
    <t>2/18/2021 - 4/25/2021</t>
  </si>
  <si>
    <t>5/20/2021 - 5/26/2021</t>
  </si>
  <si>
    <t>4/26/2021 - 6/23/2021</t>
  </si>
  <si>
    <t>7/22/2021 - 7/28/2021</t>
  </si>
  <si>
    <t>6/24/2021 - 8/21/2021</t>
  </si>
  <si>
    <t>9/14/2021  9/20/2021</t>
  </si>
  <si>
    <t>8/22/2021 - 12/31/2021</t>
  </si>
  <si>
    <t>9/14/2021 - 9/20/2021</t>
  </si>
  <si>
    <t>8/22/2021 - 11/26/2021</t>
  </si>
  <si>
    <t>Metro Reports 2020</t>
  </si>
  <si>
    <t>11/5/2019 - 11/11/2019</t>
  </si>
  <si>
    <t>1/1/2020 - 1/4/2020</t>
  </si>
  <si>
    <t>2/27/2020 - 03/04/2020</t>
  </si>
  <si>
    <t>1/5/2020 - 5/3/2020</t>
  </si>
  <si>
    <t>7/2/2020 - 7/8/2020</t>
  </si>
  <si>
    <t>5/4/2020 - 7/26/2020</t>
  </si>
  <si>
    <t>8/13/2020 - 8/19/2020</t>
  </si>
  <si>
    <t>7/27/2020 - 9/16/2020</t>
  </si>
  <si>
    <t>10/15/2020 - 10/21/2020</t>
  </si>
  <si>
    <t>9/17/2020 - 12/2/2020</t>
  </si>
  <si>
    <t>12/3/2020 - 12/31/2020</t>
  </si>
  <si>
    <t>Metro Reports 2019</t>
  </si>
  <si>
    <t>2/5/2019 - 2/11/2019</t>
  </si>
  <si>
    <t>1/2/2019 - 3/26/2019</t>
  </si>
  <si>
    <t>5/9/2019 - 5/15/2019</t>
  </si>
  <si>
    <t>3/27/2019 - 6/12/2019</t>
  </si>
  <si>
    <t>7/11/2019 - 11/17/2019</t>
  </si>
  <si>
    <t>6/13/2019 - 8/14/2019</t>
  </si>
  <si>
    <t>9/12/2019 - 9/18/2019</t>
  </si>
  <si>
    <t>8/15/2019 - 10/12/2019</t>
  </si>
  <si>
    <t>10/13/2019 - 12/31/2019</t>
  </si>
  <si>
    <t>11/22/2018 - 11/28/2018</t>
  </si>
  <si>
    <t>1/1/2019 - 1/1/2019</t>
  </si>
  <si>
    <t>Metro Reports 2016</t>
  </si>
  <si>
    <t>Metro Reports 2017</t>
  </si>
  <si>
    <t>Metro Reports 2018</t>
  </si>
  <si>
    <t>01/01/2016 - 01/03/2016</t>
  </si>
  <si>
    <t>01/04/2016 - 03/26/2016</t>
  </si>
  <si>
    <t>03/27/2016- 05/23/2016</t>
  </si>
  <si>
    <t>05/24/2016 - 07/25/2016</t>
  </si>
  <si>
    <t>07/26/2016 - 09/16/2016</t>
  </si>
  <si>
    <t>09/7/2016 - 11/7/2016</t>
  </si>
  <si>
    <t>11/8/2016 - 12/31/2016</t>
  </si>
  <si>
    <t>11/05/2015 - 11/11/2015</t>
  </si>
  <si>
    <t>2/27/2016 - 3/5/2016</t>
  </si>
  <si>
    <t>4/19/2016 - 4/25/2016</t>
  </si>
  <si>
    <t>6/21/2016 - 6/27/2016</t>
  </si>
  <si>
    <t>9/15/2016 - 9/21/2016</t>
  </si>
  <si>
    <t>11/9/2016 - 11/12/2016</t>
  </si>
  <si>
    <t>12/6/2016 - 12/12/2016</t>
  </si>
  <si>
    <t>1/24/2017 - 1/30/2017</t>
  </si>
  <si>
    <t>4/6/2017 - 4/12/2017</t>
  </si>
  <si>
    <t>7/11/2017 - 7/17/2017</t>
  </si>
  <si>
    <t>9/12/2017 - 9/18/2017</t>
  </si>
  <si>
    <t>11/3/2017 - 11/8/2017</t>
  </si>
  <si>
    <t>1/2/2018 - 1/8/2018</t>
  </si>
  <si>
    <t>1/1/2017 - 1/2/2017</t>
  </si>
  <si>
    <t>1/03/2017 - 3/4/2017</t>
  </si>
  <si>
    <t>3/5/2017 - 5/27/2017</t>
  </si>
  <si>
    <t>5/28/2018 - 8/14/2017</t>
  </si>
  <si>
    <t>8/15/2017 - 10/11/2017</t>
  </si>
  <si>
    <t>10/12/2017 - 12/5/2017</t>
  </si>
  <si>
    <t>12/28/2017 - 12/31/2017</t>
  </si>
  <si>
    <t>1/3/2018 - 1/29/2018</t>
  </si>
  <si>
    <t>3/15/2018 - 4/2/2018</t>
  </si>
  <si>
    <t>5/8/2018 - 5/14/2018</t>
  </si>
  <si>
    <t>7/19/2018 - 7/25/2018</t>
  </si>
  <si>
    <t>9/11/2018 - 9/17/2018</t>
  </si>
  <si>
    <t>1/1/2018 - 2/10/2018</t>
  </si>
  <si>
    <t>2/11/2018 - 4/20/2018</t>
  </si>
  <si>
    <t>4/15/2018 - 6/16/2018</t>
  </si>
  <si>
    <t>6/17/2018 - 8/18/2018</t>
  </si>
  <si>
    <t>8/19/2018 - 10/20/2018</t>
  </si>
  <si>
    <t>10/21/2018 - 12/30/2018</t>
  </si>
  <si>
    <t>Unit Charges</t>
  </si>
  <si>
    <t>BOD</t>
  </si>
  <si>
    <t>SS</t>
  </si>
  <si>
    <t>TKN</t>
  </si>
  <si>
    <t xml:space="preserve">Annual Flow </t>
  </si>
  <si>
    <t>Metering and Sampling</t>
  </si>
  <si>
    <t>Unit Charge</t>
  </si>
  <si>
    <t>2016 Certified Estimate</t>
  </si>
  <si>
    <t>2017 Revised Estimate</t>
  </si>
  <si>
    <t>2018 Final Adjustment</t>
  </si>
  <si>
    <t>2017 Certified Estimate</t>
  </si>
  <si>
    <t>2019 Final Adjustment</t>
  </si>
  <si>
    <t>2018 Revised Estimate</t>
  </si>
  <si>
    <t>2018 Certified Estimate</t>
  </si>
  <si>
    <t>2019 Revised Estimate</t>
  </si>
  <si>
    <t>2019 Certified Estimate</t>
  </si>
  <si>
    <t>2020 Final Adjustment</t>
  </si>
  <si>
    <t>2020 Revised Estimate</t>
  </si>
  <si>
    <t>2020 Certified Estimate</t>
  </si>
  <si>
    <t>2021 Final Adjustment</t>
  </si>
  <si>
    <t>2021 Revised Estimate</t>
  </si>
  <si>
    <t>2021 Certified Estimate</t>
  </si>
  <si>
    <t>2022 Final Adjustment</t>
  </si>
  <si>
    <t>2022 Revised Estimate</t>
  </si>
  <si>
    <t>2022 Certified Estimate</t>
  </si>
  <si>
    <t>2023 Final Adjustment</t>
  </si>
  <si>
    <t>2023 Revised Estimate</t>
  </si>
  <si>
    <t>2023 Certified Estimate</t>
  </si>
  <si>
    <t>2024 Final Adjustment</t>
  </si>
  <si>
    <t>2024 Revised Estimate</t>
  </si>
  <si>
    <t>2024 Certified Estimate</t>
  </si>
  <si>
    <t>Charges Difference 2017- Revised</t>
  </si>
  <si>
    <t>Charges Difference 2018- Revised</t>
  </si>
  <si>
    <t>Charges Difference 2019- Revised</t>
  </si>
  <si>
    <t>Charges Difference 2020- Revised</t>
  </si>
  <si>
    <t>Charges Difference 2021- Revised</t>
  </si>
  <si>
    <t>Charges Difference 2022- Revised</t>
  </si>
  <si>
    <t>Charges Difference 2023- Revised</t>
  </si>
  <si>
    <t>Charges Difference 2024- Final</t>
  </si>
  <si>
    <t>Charges Difference 2016- Certified</t>
  </si>
  <si>
    <t>Total</t>
  </si>
  <si>
    <t>Calculation of Flows and Loadings</t>
  </si>
  <si>
    <t>Denver Flow</t>
  </si>
  <si>
    <t>Flow Difference</t>
  </si>
  <si>
    <t>Flow (MG)</t>
  </si>
  <si>
    <t>Flow</t>
  </si>
  <si>
    <t>Charges Difference 2019- Certified</t>
  </si>
  <si>
    <t>Charges Difference 2020- Certified</t>
  </si>
  <si>
    <t>Charges Difference 2021- Certified</t>
  </si>
  <si>
    <t>Charges Difference 2022- Certified</t>
  </si>
  <si>
    <t>Charges Difference 2023- Estimate</t>
  </si>
  <si>
    <t>Charges Difference 2024- Final Adjustment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</si>
</sst>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0"/>
    <numFmt numFmtId="166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color theme="1"/>
      <name val="Tahoma"/>
      <family val="2"/>
    </font>
    <font>
      <sz val="10"/>
      <color rgb="FF343334"/>
      <name val="Tahoma"/>
      <family val="2"/>
    </font>
    <font>
      <sz val="10"/>
      <color rgb="FF000000"/>
      <name val="Tahoma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AEAEA"/>
      </patternFill>
    </fill>
    <fill>
      <patternFill patternType="solid">
        <fgColor rgb="FFC1CCE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BFC0"/>
      </left>
      <right/>
      <top/>
      <bottom style="medium">
        <color rgb="FFC0BF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2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8" fillId="0" borderId="0"/>
    <xf numFmtId="0" fontId="20" fillId="0" borderId="0"/>
    <xf numFmtId="0" fontId="1" fillId="0" borderId="0"/>
    <xf numFmtId="0" fontId="18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8" applyNumberFormat="0" applyFont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" fillId="0" borderId="0"/>
    <xf numFmtId="0" fontId="20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407">
    <xf numFmtId="0" fontId="0" fillId="0" borderId="0" xfId="0"/>
    <xf numFmtId="16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0" xfId="0" applyFill="1"/>
    <xf numFmtId="0" fontId="0" fillId="0" borderId="10" xfId="0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Fill="1"/>
    <xf numFmtId="164" fontId="0" fillId="0" borderId="10" xfId="0" applyNumberFormat="1" applyBorder="1" applyAlignment="1">
      <alignment horizontal="center" vertical="center" wrapText="1"/>
    </xf>
    <xf numFmtId="0" fontId="0" fillId="0" borderId="0" xfId="0"/>
    <xf numFmtId="0" fontId="0" fillId="33" borderId="10" xfId="0" applyFill="1" applyBorder="1" applyAlignment="1">
      <alignment horizontal="center" vertical="center"/>
    </xf>
    <xf numFmtId="0" fontId="21" fillId="36" borderId="10" xfId="444" applyFont="1" applyFill="1" applyBorder="1" applyAlignment="1">
      <alignment horizontal="center" vertical="center"/>
    </xf>
    <xf numFmtId="0" fontId="21" fillId="36" borderId="10" xfId="445" applyFont="1" applyFill="1" applyBorder="1" applyAlignment="1">
      <alignment horizontal="center" vertical="center"/>
    </xf>
    <xf numFmtId="0" fontId="21" fillId="36" borderId="10" xfId="446" applyFont="1" applyFill="1" applyBorder="1" applyAlignment="1">
      <alignment horizontal="center" vertical="center"/>
    </xf>
    <xf numFmtId="0" fontId="21" fillId="36" borderId="10" xfId="447" applyFont="1" applyFill="1" applyBorder="1" applyAlignment="1">
      <alignment horizontal="center" vertical="center"/>
    </xf>
    <xf numFmtId="0" fontId="21" fillId="36" borderId="10" xfId="448" applyFont="1" applyFill="1" applyBorder="1" applyAlignment="1">
      <alignment horizontal="center" vertical="center"/>
    </xf>
    <xf numFmtId="0" fontId="22" fillId="0" borderId="10" xfId="449" applyFont="1" applyBorder="1" applyAlignment="1">
      <alignment horizontal="center" vertical="center"/>
    </xf>
    <xf numFmtId="0" fontId="22" fillId="0" borderId="10" xfId="450" applyFont="1" applyBorder="1" applyAlignment="1">
      <alignment horizontal="center" vertical="center"/>
    </xf>
    <xf numFmtId="0" fontId="20" fillId="0" borderId="10" xfId="450" applyFont="1" applyBorder="1" applyAlignment="1">
      <alignment horizontal="center" vertical="center"/>
    </xf>
    <xf numFmtId="0" fontId="21" fillId="0" borderId="10" xfId="451" applyFont="1" applyBorder="1" applyAlignment="1">
      <alignment horizontal="center" vertical="center"/>
    </xf>
    <xf numFmtId="3" fontId="21" fillId="0" borderId="10" xfId="452" applyNumberFormat="1" applyFont="1" applyBorder="1" applyAlignment="1">
      <alignment horizontal="center" vertical="center"/>
    </xf>
    <xf numFmtId="3" fontId="20" fillId="0" borderId="10" xfId="452" applyNumberFormat="1" applyFont="1" applyBorder="1" applyAlignment="1">
      <alignment horizontal="center" vertical="center"/>
    </xf>
    <xf numFmtId="3" fontId="21" fillId="0" borderId="10" xfId="453" applyNumberFormat="1" applyFont="1" applyBorder="1" applyAlignment="1">
      <alignment horizontal="center" vertical="center"/>
    </xf>
    <xf numFmtId="3" fontId="20" fillId="0" borderId="10" xfId="453" applyNumberFormat="1" applyFont="1" applyBorder="1" applyAlignment="1">
      <alignment horizontal="center" vertical="center"/>
    </xf>
    <xf numFmtId="3" fontId="21" fillId="0" borderId="10" xfId="454" applyNumberFormat="1" applyFont="1" applyBorder="1" applyAlignment="1">
      <alignment horizontal="center" vertical="center"/>
    </xf>
    <xf numFmtId="3" fontId="20" fillId="0" borderId="10" xfId="454" applyNumberFormat="1" applyFont="1" applyBorder="1" applyAlignment="1">
      <alignment horizontal="center" vertical="center"/>
    </xf>
    <xf numFmtId="3" fontId="21" fillId="0" borderId="10" xfId="455" applyNumberFormat="1" applyFont="1" applyBorder="1" applyAlignment="1">
      <alignment horizontal="center" vertical="center"/>
    </xf>
    <xf numFmtId="3" fontId="20" fillId="0" borderId="10" xfId="455" applyNumberFormat="1" applyFont="1" applyBorder="1" applyAlignment="1">
      <alignment horizontal="center" vertical="center"/>
    </xf>
    <xf numFmtId="3" fontId="21" fillId="0" borderId="10" xfId="456" applyNumberFormat="1" applyFont="1" applyBorder="1" applyAlignment="1">
      <alignment horizontal="center" vertical="center"/>
    </xf>
    <xf numFmtId="3" fontId="20" fillId="0" borderId="10" xfId="456" applyNumberFormat="1" applyFont="1" applyBorder="1" applyAlignment="1">
      <alignment horizontal="center" vertical="center"/>
    </xf>
    <xf numFmtId="3" fontId="21" fillId="0" borderId="10" xfId="457" applyNumberFormat="1" applyFont="1" applyBorder="1" applyAlignment="1">
      <alignment horizontal="center" vertical="center"/>
    </xf>
    <xf numFmtId="3" fontId="20" fillId="0" borderId="10" xfId="457" applyNumberFormat="1" applyFont="1" applyBorder="1" applyAlignment="1">
      <alignment horizontal="center" vertical="center"/>
    </xf>
    <xf numFmtId="3" fontId="21" fillId="0" borderId="10" xfId="458" applyNumberFormat="1" applyFont="1" applyBorder="1" applyAlignment="1">
      <alignment horizontal="center" vertical="center"/>
    </xf>
    <xf numFmtId="3" fontId="20" fillId="0" borderId="10" xfId="458" applyNumberFormat="1" applyFont="1" applyBorder="1" applyAlignment="1">
      <alignment horizontal="center" vertical="center"/>
    </xf>
    <xf numFmtId="3" fontId="21" fillId="0" borderId="10" xfId="459" applyNumberFormat="1" applyFont="1" applyBorder="1" applyAlignment="1">
      <alignment horizontal="center" vertical="center"/>
    </xf>
    <xf numFmtId="3" fontId="20" fillId="0" borderId="10" xfId="459" applyNumberFormat="1" applyFont="1" applyBorder="1" applyAlignment="1">
      <alignment horizontal="center" vertical="center"/>
    </xf>
    <xf numFmtId="3" fontId="21" fillId="0" borderId="10" xfId="460" applyNumberFormat="1" applyFont="1" applyBorder="1" applyAlignment="1">
      <alignment horizontal="center" vertical="center"/>
    </xf>
    <xf numFmtId="3" fontId="20" fillId="0" borderId="10" xfId="460" applyNumberFormat="1" applyFont="1" applyBorder="1" applyAlignment="1">
      <alignment horizontal="center" vertical="center"/>
    </xf>
    <xf numFmtId="3" fontId="21" fillId="0" borderId="10" xfId="461" applyNumberFormat="1" applyFont="1" applyBorder="1" applyAlignment="1">
      <alignment horizontal="center" vertical="center"/>
    </xf>
    <xf numFmtId="3" fontId="20" fillId="0" borderId="10" xfId="461" applyNumberFormat="1" applyFont="1" applyBorder="1" applyAlignment="1">
      <alignment horizontal="center" vertical="center"/>
    </xf>
    <xf numFmtId="3" fontId="21" fillId="0" borderId="10" xfId="462" applyNumberFormat="1" applyFont="1" applyBorder="1" applyAlignment="1">
      <alignment horizontal="center" vertical="center"/>
    </xf>
    <xf numFmtId="3" fontId="20" fillId="0" borderId="10" xfId="462" applyNumberFormat="1" applyFont="1" applyBorder="1" applyAlignment="1">
      <alignment horizontal="center" vertical="center"/>
    </xf>
    <xf numFmtId="3" fontId="21" fillId="0" borderId="10" xfId="463" applyNumberFormat="1" applyFont="1" applyBorder="1" applyAlignment="1">
      <alignment horizontal="center" vertical="center"/>
    </xf>
    <xf numFmtId="3" fontId="20" fillId="0" borderId="10" xfId="463" applyNumberFormat="1" applyFont="1" applyBorder="1" applyAlignment="1">
      <alignment horizontal="center" vertical="center"/>
    </xf>
    <xf numFmtId="0" fontId="20" fillId="0" borderId="10" xfId="464" applyBorder="1" applyAlignment="1">
      <alignment horizontal="center" vertical="center"/>
    </xf>
    <xf numFmtId="3" fontId="20" fillId="0" borderId="10" xfId="464" applyNumberFormat="1" applyFont="1" applyBorder="1" applyAlignment="1">
      <alignment horizontal="center" vertical="center"/>
    </xf>
    <xf numFmtId="0" fontId="0" fillId="0" borderId="0" xfId="0"/>
    <xf numFmtId="0" fontId="0" fillId="33" borderId="0" xfId="0" applyFill="1"/>
    <xf numFmtId="0" fontId="21" fillId="0" borderId="12" xfId="443" applyFont="1" applyFill="1" applyBorder="1" applyAlignment="1">
      <alignment horizontal="center" vertical="center"/>
    </xf>
    <xf numFmtId="0" fontId="20" fillId="0" borderId="0" xfId="466" applyFont="1" applyFill="1" applyAlignment="1">
      <alignment horizontal="center" vertical="center"/>
    </xf>
    <xf numFmtId="14" fontId="0" fillId="0" borderId="10" xfId="0" applyNumberForma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5" borderId="0" xfId="0" applyFill="1" applyAlignment="1">
      <alignment horizontal="center" vertical="center"/>
    </xf>
    <xf numFmtId="0" fontId="0" fillId="35" borderId="0" xfId="0" applyFill="1"/>
    <xf numFmtId="0" fontId="20" fillId="0" borderId="0" xfId="467" applyFont="1" applyAlignment="1">
      <alignment horizontal="center" vertical="center"/>
    </xf>
    <xf numFmtId="0" fontId="21" fillId="37" borderId="10" xfId="467" applyFont="1" applyFill="1" applyBorder="1" applyAlignment="1">
      <alignment horizontal="center" vertical="center"/>
    </xf>
    <xf numFmtId="3" fontId="21" fillId="37" borderId="14" xfId="467" applyNumberFormat="1" applyFont="1" applyFill="1" applyBorder="1" applyAlignment="1">
      <alignment horizontal="center" vertical="center"/>
    </xf>
    <xf numFmtId="3" fontId="0" fillId="39" borderId="10" xfId="0" applyNumberFormat="1" applyFill="1" applyBorder="1" applyAlignment="1">
      <alignment horizontal="center" vertical="center"/>
    </xf>
    <xf numFmtId="3" fontId="20" fillId="39" borderId="10" xfId="2214" applyNumberFormat="1" applyFont="1" applyFill="1" applyBorder="1" applyAlignment="1">
      <alignment horizontal="center" vertical="center"/>
    </xf>
    <xf numFmtId="0" fontId="0" fillId="39" borderId="10" xfId="0" applyFill="1" applyBorder="1" applyAlignment="1">
      <alignment horizontal="center" vertical="center"/>
    </xf>
    <xf numFmtId="3" fontId="20" fillId="39" borderId="10" xfId="2211" applyNumberFormat="1" applyFont="1" applyFill="1" applyBorder="1" applyAlignment="1">
      <alignment horizontal="center" vertical="center"/>
    </xf>
    <xf numFmtId="0" fontId="0" fillId="0" borderId="0" xfId="0" applyFill="1" applyBorder="1"/>
    <xf numFmtId="3" fontId="20" fillId="39" borderId="10" xfId="477" applyNumberFormat="1" applyFont="1" applyFill="1" applyBorder="1" applyAlignment="1">
      <alignment horizontal="center" vertical="center"/>
    </xf>
    <xf numFmtId="0" fontId="0" fillId="38" borderId="10" xfId="0" applyFill="1" applyBorder="1" applyAlignment="1">
      <alignment horizontal="center" vertical="center"/>
    </xf>
    <xf numFmtId="3" fontId="20" fillId="39" borderId="10" xfId="2187" applyNumberFormat="1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0" fillId="0" borderId="0" xfId="468"/>
    <xf numFmtId="0" fontId="20" fillId="33" borderId="0" xfId="468" applyFont="1" applyFill="1"/>
    <xf numFmtId="0" fontId="21" fillId="33" borderId="12" xfId="468" applyFont="1" applyFill="1" applyBorder="1" applyAlignment="1">
      <alignment horizontal="center" vertical="center"/>
    </xf>
    <xf numFmtId="0" fontId="21" fillId="36" borderId="10" xfId="468" applyFont="1" applyFill="1" applyBorder="1" applyAlignment="1">
      <alignment horizontal="center" vertical="center"/>
    </xf>
    <xf numFmtId="0" fontId="21" fillId="37" borderId="10" xfId="468" applyFont="1" applyFill="1" applyBorder="1" applyAlignment="1">
      <alignment horizontal="center" vertical="center"/>
    </xf>
    <xf numFmtId="0" fontId="22" fillId="0" borderId="10" xfId="468" applyFont="1" applyBorder="1" applyAlignment="1">
      <alignment horizontal="center" vertical="center"/>
    </xf>
    <xf numFmtId="0" fontId="20" fillId="0" borderId="10" xfId="468" applyFont="1" applyBorder="1" applyAlignment="1">
      <alignment horizontal="center" vertical="center"/>
    </xf>
    <xf numFmtId="0" fontId="20" fillId="0" borderId="10" xfId="468" applyBorder="1" applyAlignment="1">
      <alignment horizontal="center" vertical="center"/>
    </xf>
    <xf numFmtId="3" fontId="20" fillId="0" borderId="10" xfId="468" applyNumberFormat="1" applyFont="1" applyBorder="1" applyAlignment="1">
      <alignment horizontal="center" vertical="center"/>
    </xf>
    <xf numFmtId="0" fontId="1" fillId="0" borderId="0" xfId="485"/>
    <xf numFmtId="3" fontId="1" fillId="0" borderId="10" xfId="473" applyNumberFormat="1" applyBorder="1" applyAlignment="1">
      <alignment horizontal="center" vertical="center"/>
    </xf>
    <xf numFmtId="0" fontId="21" fillId="33" borderId="12" xfId="443" applyFont="1" applyFill="1" applyBorder="1" applyAlignment="1">
      <alignment horizontal="center" vertical="center"/>
    </xf>
    <xf numFmtId="0" fontId="21" fillId="36" borderId="10" xfId="444" applyFont="1" applyFill="1" applyBorder="1" applyAlignment="1">
      <alignment horizontal="center" vertical="center"/>
    </xf>
    <xf numFmtId="0" fontId="21" fillId="36" borderId="10" xfId="445" applyFont="1" applyFill="1" applyBorder="1" applyAlignment="1">
      <alignment horizontal="center" vertical="center"/>
    </xf>
    <xf numFmtId="0" fontId="21" fillId="36" borderId="10" xfId="446" applyFont="1" applyFill="1" applyBorder="1" applyAlignment="1">
      <alignment horizontal="center" vertical="center"/>
    </xf>
    <xf numFmtId="0" fontId="21" fillId="36" borderId="10" xfId="447" applyFont="1" applyFill="1" applyBorder="1" applyAlignment="1">
      <alignment horizontal="center" vertical="center"/>
    </xf>
    <xf numFmtId="0" fontId="21" fillId="36" borderId="10" xfId="448" applyFont="1" applyFill="1" applyBorder="1" applyAlignment="1">
      <alignment horizontal="center" vertical="center"/>
    </xf>
    <xf numFmtId="0" fontId="1" fillId="0" borderId="0" xfId="472"/>
    <xf numFmtId="3" fontId="20" fillId="0" borderId="11" xfId="468" applyNumberFormat="1" applyFont="1" applyBorder="1" applyAlignment="1">
      <alignment horizontal="center" vertical="center"/>
    </xf>
    <xf numFmtId="3" fontId="21" fillId="37" borderId="14" xfId="468" applyNumberFormat="1" applyFont="1" applyFill="1" applyBorder="1" applyAlignment="1">
      <alignment horizontal="center" vertical="center"/>
    </xf>
    <xf numFmtId="0" fontId="21" fillId="0" borderId="13" xfId="468" applyFont="1" applyBorder="1" applyAlignment="1">
      <alignment horizontal="center" vertical="center"/>
    </xf>
    <xf numFmtId="0" fontId="21" fillId="0" borderId="13" xfId="468" applyFont="1" applyFill="1" applyBorder="1" applyAlignment="1">
      <alignment horizontal="center" vertical="center"/>
    </xf>
    <xf numFmtId="0" fontId="20" fillId="0" borderId="0" xfId="469"/>
    <xf numFmtId="0" fontId="20" fillId="33" borderId="0" xfId="469" applyFont="1" applyFill="1"/>
    <xf numFmtId="0" fontId="21" fillId="33" borderId="12" xfId="469" applyFont="1" applyFill="1" applyBorder="1" applyAlignment="1">
      <alignment horizontal="center" vertical="center"/>
    </xf>
    <xf numFmtId="0" fontId="21" fillId="36" borderId="10" xfId="469" applyFont="1" applyFill="1" applyBorder="1" applyAlignment="1">
      <alignment horizontal="center" vertical="center"/>
    </xf>
    <xf numFmtId="0" fontId="21" fillId="37" borderId="10" xfId="469" applyFont="1" applyFill="1" applyBorder="1" applyAlignment="1">
      <alignment horizontal="center" vertical="center"/>
    </xf>
    <xf numFmtId="0" fontId="22" fillId="0" borderId="10" xfId="469" applyFont="1" applyBorder="1" applyAlignment="1">
      <alignment horizontal="center" vertical="center"/>
    </xf>
    <xf numFmtId="0" fontId="20" fillId="0" borderId="10" xfId="469" applyFont="1" applyBorder="1" applyAlignment="1">
      <alignment horizontal="center" vertical="center"/>
    </xf>
    <xf numFmtId="0" fontId="20" fillId="0" borderId="10" xfId="469" applyBorder="1" applyAlignment="1">
      <alignment horizontal="center" vertical="center"/>
    </xf>
    <xf numFmtId="3" fontId="20" fillId="0" borderId="10" xfId="469" applyNumberFormat="1" applyFont="1" applyBorder="1" applyAlignment="1">
      <alignment horizontal="center" vertical="center"/>
    </xf>
    <xf numFmtId="0" fontId="1" fillId="0" borderId="0" xfId="2223"/>
    <xf numFmtId="0" fontId="1" fillId="0" borderId="0" xfId="473"/>
    <xf numFmtId="3" fontId="1" fillId="0" borderId="10" xfId="473" applyNumberFormat="1" applyBorder="1" applyAlignment="1">
      <alignment horizontal="center" vertical="center"/>
    </xf>
    <xf numFmtId="0" fontId="21" fillId="33" borderId="12" xfId="443" applyFont="1" applyFill="1" applyBorder="1" applyAlignment="1">
      <alignment horizontal="center" vertical="center"/>
    </xf>
    <xf numFmtId="0" fontId="21" fillId="36" borderId="10" xfId="444" applyFont="1" applyFill="1" applyBorder="1" applyAlignment="1">
      <alignment horizontal="center" vertical="center"/>
    </xf>
    <xf numFmtId="0" fontId="21" fillId="36" borderId="10" xfId="445" applyFont="1" applyFill="1" applyBorder="1" applyAlignment="1">
      <alignment horizontal="center" vertical="center"/>
    </xf>
    <xf numFmtId="0" fontId="21" fillId="36" borderId="10" xfId="446" applyFont="1" applyFill="1" applyBorder="1" applyAlignment="1">
      <alignment horizontal="center" vertical="center"/>
    </xf>
    <xf numFmtId="0" fontId="21" fillId="36" borderId="10" xfId="447" applyFont="1" applyFill="1" applyBorder="1" applyAlignment="1">
      <alignment horizontal="center" vertical="center"/>
    </xf>
    <xf numFmtId="0" fontId="21" fillId="36" borderId="10" xfId="448" applyFont="1" applyFill="1" applyBorder="1" applyAlignment="1">
      <alignment horizontal="center" vertical="center"/>
    </xf>
    <xf numFmtId="0" fontId="22" fillId="0" borderId="10" xfId="449" applyFont="1" applyBorder="1" applyAlignment="1">
      <alignment horizontal="center" vertical="center"/>
    </xf>
    <xf numFmtId="0" fontId="22" fillId="0" borderId="10" xfId="450" applyFont="1" applyBorder="1" applyAlignment="1">
      <alignment horizontal="center" vertical="center"/>
    </xf>
    <xf numFmtId="0" fontId="20" fillId="0" borderId="10" xfId="450" applyFont="1" applyBorder="1" applyAlignment="1">
      <alignment horizontal="center" vertical="center"/>
    </xf>
    <xf numFmtId="0" fontId="21" fillId="0" borderId="10" xfId="451" applyFont="1" applyBorder="1" applyAlignment="1">
      <alignment horizontal="center" vertical="center"/>
    </xf>
    <xf numFmtId="0" fontId="1" fillId="0" borderId="0" xfId="472"/>
    <xf numFmtId="3" fontId="21" fillId="37" borderId="14" xfId="469" applyNumberFormat="1" applyFont="1" applyFill="1" applyBorder="1" applyAlignment="1">
      <alignment horizontal="center" vertical="center"/>
    </xf>
    <xf numFmtId="0" fontId="21" fillId="0" borderId="13" xfId="469" applyFont="1" applyBorder="1" applyAlignment="1">
      <alignment horizontal="center" vertical="center"/>
    </xf>
    <xf numFmtId="0" fontId="21" fillId="0" borderId="13" xfId="469" applyFont="1" applyFill="1" applyBorder="1" applyAlignment="1">
      <alignment horizontal="center" vertical="center"/>
    </xf>
    <xf numFmtId="0" fontId="20" fillId="0" borderId="0" xfId="2199"/>
    <xf numFmtId="0" fontId="20" fillId="33" borderId="0" xfId="2199" applyFont="1" applyFill="1"/>
    <xf numFmtId="0" fontId="21" fillId="33" borderId="12" xfId="2199" applyFont="1" applyFill="1" applyBorder="1" applyAlignment="1">
      <alignment horizontal="center" vertical="center"/>
    </xf>
    <xf numFmtId="0" fontId="21" fillId="36" borderId="10" xfId="2199" applyFont="1" applyFill="1" applyBorder="1" applyAlignment="1">
      <alignment horizontal="center" vertical="center"/>
    </xf>
    <xf numFmtId="0" fontId="21" fillId="37" borderId="10" xfId="2199" applyFont="1" applyFill="1" applyBorder="1" applyAlignment="1">
      <alignment horizontal="center" vertical="center"/>
    </xf>
    <xf numFmtId="0" fontId="22" fillId="0" borderId="10" xfId="2199" applyFont="1" applyBorder="1" applyAlignment="1">
      <alignment horizontal="center" vertical="center"/>
    </xf>
    <xf numFmtId="0" fontId="20" fillId="0" borderId="10" xfId="2199" applyFont="1" applyBorder="1" applyAlignment="1">
      <alignment horizontal="center" vertical="center"/>
    </xf>
    <xf numFmtId="0" fontId="20" fillId="0" borderId="10" xfId="2199" applyBorder="1" applyAlignment="1">
      <alignment horizontal="center" vertical="center"/>
    </xf>
    <xf numFmtId="3" fontId="20" fillId="0" borderId="10" xfId="2199" applyNumberFormat="1" applyFont="1" applyBorder="1" applyAlignment="1">
      <alignment horizontal="center" vertical="center"/>
    </xf>
    <xf numFmtId="0" fontId="1" fillId="0" borderId="0" xfId="2194"/>
    <xf numFmtId="0" fontId="1" fillId="0" borderId="0" xfId="473"/>
    <xf numFmtId="3" fontId="1" fillId="0" borderId="10" xfId="473" applyNumberFormat="1" applyBorder="1" applyAlignment="1">
      <alignment horizontal="center" vertical="center"/>
    </xf>
    <xf numFmtId="0" fontId="21" fillId="33" borderId="12" xfId="443" applyFont="1" applyFill="1" applyBorder="1" applyAlignment="1">
      <alignment horizontal="center" vertical="center"/>
    </xf>
    <xf numFmtId="0" fontId="21" fillId="36" borderId="10" xfId="444" applyFont="1" applyFill="1" applyBorder="1" applyAlignment="1">
      <alignment horizontal="center" vertical="center"/>
    </xf>
    <xf numFmtId="0" fontId="21" fillId="36" borderId="10" xfId="445" applyFont="1" applyFill="1" applyBorder="1" applyAlignment="1">
      <alignment horizontal="center" vertical="center"/>
    </xf>
    <xf numFmtId="0" fontId="21" fillId="36" borderId="10" xfId="446" applyFont="1" applyFill="1" applyBorder="1" applyAlignment="1">
      <alignment horizontal="center" vertical="center"/>
    </xf>
    <xf numFmtId="0" fontId="21" fillId="36" borderId="10" xfId="447" applyFont="1" applyFill="1" applyBorder="1" applyAlignment="1">
      <alignment horizontal="center" vertical="center"/>
    </xf>
    <xf numFmtId="0" fontId="21" fillId="36" borderId="10" xfId="448" applyFont="1" applyFill="1" applyBorder="1" applyAlignment="1">
      <alignment horizontal="center" vertical="center"/>
    </xf>
    <xf numFmtId="0" fontId="22" fillId="0" borderId="10" xfId="449" applyFont="1" applyBorder="1" applyAlignment="1">
      <alignment horizontal="center" vertical="center"/>
    </xf>
    <xf numFmtId="0" fontId="22" fillId="0" borderId="10" xfId="450" applyFont="1" applyBorder="1" applyAlignment="1">
      <alignment horizontal="center" vertical="center"/>
    </xf>
    <xf numFmtId="0" fontId="20" fillId="0" borderId="10" xfId="450" applyFont="1" applyBorder="1" applyAlignment="1">
      <alignment horizontal="center" vertical="center"/>
    </xf>
    <xf numFmtId="0" fontId="21" fillId="0" borderId="10" xfId="451" applyFont="1" applyBorder="1" applyAlignment="1">
      <alignment horizontal="center" vertical="center"/>
    </xf>
    <xf numFmtId="0" fontId="1" fillId="0" borderId="0" xfId="472"/>
    <xf numFmtId="3" fontId="20" fillId="0" borderId="11" xfId="2199" applyNumberFormat="1" applyFont="1" applyBorder="1" applyAlignment="1">
      <alignment horizontal="center" vertical="center"/>
    </xf>
    <xf numFmtId="3" fontId="21" fillId="37" borderId="14" xfId="2199" applyNumberFormat="1" applyFont="1" applyFill="1" applyBorder="1" applyAlignment="1">
      <alignment horizontal="center" vertical="center"/>
    </xf>
    <xf numFmtId="0" fontId="21" fillId="0" borderId="13" xfId="2199" applyFont="1" applyBorder="1" applyAlignment="1">
      <alignment horizontal="center" vertical="center"/>
    </xf>
    <xf numFmtId="0" fontId="20" fillId="0" borderId="0" xfId="2216"/>
    <xf numFmtId="0" fontId="20" fillId="33" borderId="0" xfId="2216" applyFont="1" applyFill="1"/>
    <xf numFmtId="0" fontId="21" fillId="33" borderId="12" xfId="2216" applyFont="1" applyFill="1" applyBorder="1" applyAlignment="1">
      <alignment horizontal="center" vertical="center"/>
    </xf>
    <xf numFmtId="0" fontId="21" fillId="36" borderId="10" xfId="2216" applyFont="1" applyFill="1" applyBorder="1" applyAlignment="1">
      <alignment horizontal="center" vertical="center"/>
    </xf>
    <xf numFmtId="0" fontId="21" fillId="37" borderId="10" xfId="2216" applyFont="1" applyFill="1" applyBorder="1" applyAlignment="1">
      <alignment horizontal="center" vertical="center"/>
    </xf>
    <xf numFmtId="0" fontId="22" fillId="0" borderId="10" xfId="2216" applyFont="1" applyBorder="1" applyAlignment="1">
      <alignment horizontal="center" vertical="center"/>
    </xf>
    <xf numFmtId="0" fontId="20" fillId="0" borderId="10" xfId="2216" applyFont="1" applyBorder="1" applyAlignment="1">
      <alignment horizontal="center" vertical="center"/>
    </xf>
    <xf numFmtId="0" fontId="20" fillId="0" borderId="10" xfId="2216" applyBorder="1" applyAlignment="1">
      <alignment horizontal="center" vertical="center"/>
    </xf>
    <xf numFmtId="3" fontId="20" fillId="0" borderId="10" xfId="2216" applyNumberFormat="1" applyFont="1" applyBorder="1" applyAlignment="1">
      <alignment horizontal="center" vertical="center"/>
    </xf>
    <xf numFmtId="0" fontId="1" fillId="0" borderId="0" xfId="486"/>
    <xf numFmtId="0" fontId="1" fillId="0" borderId="0" xfId="473"/>
    <xf numFmtId="3" fontId="1" fillId="0" borderId="10" xfId="473" applyNumberFormat="1" applyBorder="1" applyAlignment="1">
      <alignment horizontal="center" vertical="center"/>
    </xf>
    <xf numFmtId="0" fontId="21" fillId="33" borderId="12" xfId="443" applyFont="1" applyFill="1" applyBorder="1" applyAlignment="1">
      <alignment horizontal="center" vertical="center"/>
    </xf>
    <xf numFmtId="0" fontId="21" fillId="36" borderId="10" xfId="444" applyFont="1" applyFill="1" applyBorder="1" applyAlignment="1">
      <alignment horizontal="center" vertical="center"/>
    </xf>
    <xf numFmtId="0" fontId="21" fillId="36" borderId="10" xfId="445" applyFont="1" applyFill="1" applyBorder="1" applyAlignment="1">
      <alignment horizontal="center" vertical="center"/>
    </xf>
    <xf numFmtId="0" fontId="21" fillId="36" borderId="10" xfId="446" applyFont="1" applyFill="1" applyBorder="1" applyAlignment="1">
      <alignment horizontal="center" vertical="center"/>
    </xf>
    <xf numFmtId="0" fontId="21" fillId="36" borderId="10" xfId="447" applyFont="1" applyFill="1" applyBorder="1" applyAlignment="1">
      <alignment horizontal="center" vertical="center"/>
    </xf>
    <xf numFmtId="0" fontId="21" fillId="36" borderId="10" xfId="448" applyFont="1" applyFill="1" applyBorder="1" applyAlignment="1">
      <alignment horizontal="center" vertical="center"/>
    </xf>
    <xf numFmtId="0" fontId="22" fillId="0" borderId="10" xfId="449" applyFont="1" applyBorder="1" applyAlignment="1">
      <alignment horizontal="center" vertical="center"/>
    </xf>
    <xf numFmtId="0" fontId="22" fillId="0" borderId="10" xfId="450" applyFont="1" applyBorder="1" applyAlignment="1">
      <alignment horizontal="center" vertical="center"/>
    </xf>
    <xf numFmtId="0" fontId="20" fillId="0" borderId="10" xfId="450" applyFont="1" applyBorder="1" applyAlignment="1">
      <alignment horizontal="center" vertical="center"/>
    </xf>
    <xf numFmtId="0" fontId="21" fillId="0" borderId="10" xfId="451" applyFont="1" applyBorder="1" applyAlignment="1">
      <alignment horizontal="center" vertical="center"/>
    </xf>
    <xf numFmtId="0" fontId="1" fillId="0" borderId="0" xfId="472"/>
    <xf numFmtId="3" fontId="20" fillId="0" borderId="11" xfId="2216" applyNumberFormat="1" applyFont="1" applyBorder="1" applyAlignment="1">
      <alignment horizontal="center" vertical="center"/>
    </xf>
    <xf numFmtId="3" fontId="21" fillId="37" borderId="14" xfId="2216" applyNumberFormat="1" applyFont="1" applyFill="1" applyBorder="1" applyAlignment="1">
      <alignment horizontal="center" vertical="center"/>
    </xf>
    <xf numFmtId="0" fontId="21" fillId="0" borderId="13" xfId="2216" applyFont="1" applyBorder="1" applyAlignment="1">
      <alignment horizontal="center" vertical="center"/>
    </xf>
    <xf numFmtId="0" fontId="20" fillId="0" borderId="0" xfId="2193"/>
    <xf numFmtId="0" fontId="20" fillId="0" borderId="0" xfId="2193" applyFont="1"/>
    <xf numFmtId="0" fontId="20" fillId="33" borderId="0" xfId="2193" applyFont="1" applyFill="1"/>
    <xf numFmtId="0" fontId="20" fillId="0" borderId="0" xfId="2193" applyFont="1" applyAlignment="1">
      <alignment horizontal="center" vertical="center"/>
    </xf>
    <xf numFmtId="0" fontId="21" fillId="33" borderId="12" xfId="2193" applyFont="1" applyFill="1" applyBorder="1" applyAlignment="1">
      <alignment horizontal="center" vertical="center"/>
    </xf>
    <xf numFmtId="0" fontId="21" fillId="36" borderId="10" xfId="2193" applyFont="1" applyFill="1" applyBorder="1" applyAlignment="1">
      <alignment horizontal="center" vertical="center"/>
    </xf>
    <xf numFmtId="0" fontId="21" fillId="37" borderId="10" xfId="2193" applyFont="1" applyFill="1" applyBorder="1" applyAlignment="1">
      <alignment horizontal="center" vertical="center"/>
    </xf>
    <xf numFmtId="0" fontId="22" fillId="0" borderId="10" xfId="2193" applyFont="1" applyBorder="1" applyAlignment="1">
      <alignment horizontal="center" vertical="center"/>
    </xf>
    <xf numFmtId="0" fontId="20" fillId="0" borderId="10" xfId="2193" applyFont="1" applyBorder="1" applyAlignment="1">
      <alignment horizontal="center" vertical="center"/>
    </xf>
    <xf numFmtId="0" fontId="20" fillId="0" borderId="10" xfId="2193" applyBorder="1" applyAlignment="1">
      <alignment horizontal="center" vertical="center"/>
    </xf>
    <xf numFmtId="3" fontId="20" fillId="0" borderId="10" xfId="2193" applyNumberFormat="1" applyFont="1" applyBorder="1" applyAlignment="1">
      <alignment horizontal="center" vertical="center"/>
    </xf>
    <xf numFmtId="0" fontId="1" fillId="0" borderId="0" xfId="2189"/>
    <xf numFmtId="0" fontId="1" fillId="0" borderId="0" xfId="473"/>
    <xf numFmtId="3" fontId="1" fillId="0" borderId="10" xfId="473" applyNumberFormat="1" applyBorder="1" applyAlignment="1">
      <alignment horizontal="center" vertical="center"/>
    </xf>
    <xf numFmtId="0" fontId="21" fillId="33" borderId="12" xfId="443" applyFont="1" applyFill="1" applyBorder="1" applyAlignment="1">
      <alignment horizontal="center" vertical="center"/>
    </xf>
    <xf numFmtId="0" fontId="21" fillId="36" borderId="10" xfId="444" applyFont="1" applyFill="1" applyBorder="1" applyAlignment="1">
      <alignment horizontal="center" vertical="center"/>
    </xf>
    <xf numFmtId="0" fontId="21" fillId="36" borderId="10" xfId="445" applyFont="1" applyFill="1" applyBorder="1" applyAlignment="1">
      <alignment horizontal="center" vertical="center"/>
    </xf>
    <xf numFmtId="0" fontId="21" fillId="36" borderId="10" xfId="446" applyFont="1" applyFill="1" applyBorder="1" applyAlignment="1">
      <alignment horizontal="center" vertical="center"/>
    </xf>
    <xf numFmtId="0" fontId="21" fillId="36" borderId="10" xfId="447" applyFont="1" applyFill="1" applyBorder="1" applyAlignment="1">
      <alignment horizontal="center" vertical="center"/>
    </xf>
    <xf numFmtId="0" fontId="21" fillId="36" borderId="10" xfId="448" applyFont="1" applyFill="1" applyBorder="1" applyAlignment="1">
      <alignment horizontal="center" vertical="center"/>
    </xf>
    <xf numFmtId="0" fontId="22" fillId="0" borderId="10" xfId="449" applyFont="1" applyBorder="1" applyAlignment="1">
      <alignment horizontal="center" vertical="center"/>
    </xf>
    <xf numFmtId="0" fontId="22" fillId="0" borderId="10" xfId="450" applyFont="1" applyBorder="1" applyAlignment="1">
      <alignment horizontal="center" vertical="center"/>
    </xf>
    <xf numFmtId="0" fontId="20" fillId="0" borderId="10" xfId="450" applyFont="1" applyBorder="1" applyAlignment="1">
      <alignment horizontal="center" vertical="center"/>
    </xf>
    <xf numFmtId="0" fontId="21" fillId="0" borderId="10" xfId="451" applyFont="1" applyBorder="1" applyAlignment="1">
      <alignment horizontal="center" vertical="center"/>
    </xf>
    <xf numFmtId="0" fontId="1" fillId="0" borderId="0" xfId="472"/>
    <xf numFmtId="3" fontId="20" fillId="0" borderId="11" xfId="2193" applyNumberFormat="1" applyFont="1" applyBorder="1" applyAlignment="1">
      <alignment horizontal="center" vertical="center"/>
    </xf>
    <xf numFmtId="3" fontId="21" fillId="37" borderId="14" xfId="2193" applyNumberFormat="1" applyFont="1" applyFill="1" applyBorder="1" applyAlignment="1">
      <alignment horizontal="center" vertical="center"/>
    </xf>
    <xf numFmtId="0" fontId="21" fillId="0" borderId="13" xfId="2193" applyFont="1" applyBorder="1" applyAlignment="1">
      <alignment horizontal="center" vertical="center"/>
    </xf>
    <xf numFmtId="3" fontId="20" fillId="39" borderId="10" xfId="2206" applyNumberFormat="1" applyFont="1" applyFill="1" applyBorder="1" applyAlignment="1">
      <alignment horizontal="center" vertical="center"/>
    </xf>
    <xf numFmtId="0" fontId="20" fillId="0" borderId="0" xfId="477"/>
    <xf numFmtId="0" fontId="20" fillId="33" borderId="0" xfId="477" applyFont="1" applyFill="1"/>
    <xf numFmtId="0" fontId="21" fillId="33" borderId="12" xfId="477" applyFont="1" applyFill="1" applyBorder="1" applyAlignment="1">
      <alignment horizontal="center" vertical="center"/>
    </xf>
    <xf numFmtId="0" fontId="21" fillId="36" borderId="10" xfId="477" applyFont="1" applyFill="1" applyBorder="1" applyAlignment="1">
      <alignment horizontal="center" vertical="center"/>
    </xf>
    <xf numFmtId="0" fontId="21" fillId="37" borderId="10" xfId="477" applyFont="1" applyFill="1" applyBorder="1" applyAlignment="1">
      <alignment horizontal="center" vertical="center"/>
    </xf>
    <xf numFmtId="0" fontId="22" fillId="0" borderId="10" xfId="477" applyFont="1" applyBorder="1" applyAlignment="1">
      <alignment horizontal="center" vertical="center"/>
    </xf>
    <xf numFmtId="0" fontId="20" fillId="0" borderId="10" xfId="477" applyFont="1" applyBorder="1" applyAlignment="1">
      <alignment horizontal="center" vertical="center"/>
    </xf>
    <xf numFmtId="0" fontId="20" fillId="0" borderId="10" xfId="477" applyBorder="1" applyAlignment="1">
      <alignment horizontal="center" vertical="center"/>
    </xf>
    <xf numFmtId="3" fontId="20" fillId="0" borderId="10" xfId="477" applyNumberFormat="1" applyFont="1" applyBorder="1" applyAlignment="1">
      <alignment horizontal="center" vertical="center"/>
    </xf>
    <xf numFmtId="0" fontId="1" fillId="0" borderId="0" xfId="2228"/>
    <xf numFmtId="3" fontId="20" fillId="0" borderId="11" xfId="477" applyNumberFormat="1" applyFont="1" applyBorder="1" applyAlignment="1">
      <alignment horizontal="center" vertical="center"/>
    </xf>
    <xf numFmtId="3" fontId="21" fillId="37" borderId="14" xfId="477" applyNumberFormat="1" applyFont="1" applyFill="1" applyBorder="1" applyAlignment="1">
      <alignment horizontal="center" vertical="center"/>
    </xf>
    <xf numFmtId="0" fontId="21" fillId="0" borderId="13" xfId="477" applyFont="1" applyBorder="1" applyAlignment="1">
      <alignment horizontal="center" vertical="center"/>
    </xf>
    <xf numFmtId="0" fontId="21" fillId="0" borderId="13" xfId="477" applyFont="1" applyFill="1" applyBorder="1" applyAlignment="1">
      <alignment horizontal="center" vertical="center"/>
    </xf>
    <xf numFmtId="0" fontId="20" fillId="0" borderId="0" xfId="2187"/>
    <xf numFmtId="0" fontId="20" fillId="33" borderId="0" xfId="2187" applyFont="1" applyFill="1"/>
    <xf numFmtId="0" fontId="21" fillId="33" borderId="12" xfId="2187" applyFont="1" applyFill="1" applyBorder="1" applyAlignment="1">
      <alignment horizontal="center" vertical="center"/>
    </xf>
    <xf numFmtId="0" fontId="21" fillId="36" borderId="10" xfId="2187" applyFont="1" applyFill="1" applyBorder="1" applyAlignment="1">
      <alignment horizontal="center" vertical="center"/>
    </xf>
    <xf numFmtId="0" fontId="21" fillId="37" borderId="10" xfId="2187" applyFont="1" applyFill="1" applyBorder="1" applyAlignment="1">
      <alignment horizontal="center" vertical="center"/>
    </xf>
    <xf numFmtId="0" fontId="22" fillId="0" borderId="10" xfId="2187" applyFont="1" applyBorder="1" applyAlignment="1">
      <alignment horizontal="center" vertical="center"/>
    </xf>
    <xf numFmtId="0" fontId="20" fillId="0" borderId="10" xfId="2187" applyFont="1" applyBorder="1" applyAlignment="1">
      <alignment horizontal="center" vertical="center"/>
    </xf>
    <xf numFmtId="0" fontId="20" fillId="0" borderId="10" xfId="2187" applyBorder="1" applyAlignment="1">
      <alignment horizontal="center" vertical="center"/>
    </xf>
    <xf numFmtId="3" fontId="20" fillId="0" borderId="10" xfId="2187" applyNumberFormat="1" applyFont="1" applyBorder="1" applyAlignment="1">
      <alignment horizontal="center" vertical="center"/>
    </xf>
    <xf numFmtId="0" fontId="1" fillId="0" borderId="0" xfId="481"/>
    <xf numFmtId="3" fontId="20" fillId="0" borderId="11" xfId="2187" applyNumberFormat="1" applyFont="1" applyBorder="1" applyAlignment="1">
      <alignment horizontal="center" vertical="center"/>
    </xf>
    <xf numFmtId="3" fontId="21" fillId="37" borderId="14" xfId="2187" applyNumberFormat="1" applyFont="1" applyFill="1" applyBorder="1" applyAlignment="1">
      <alignment horizontal="center" vertical="center"/>
    </xf>
    <xf numFmtId="0" fontId="21" fillId="0" borderId="13" xfId="2187" applyFont="1" applyBorder="1" applyAlignment="1">
      <alignment horizontal="center" vertical="center"/>
    </xf>
    <xf numFmtId="0" fontId="21" fillId="0" borderId="13" xfId="2187" applyFont="1" applyFill="1" applyBorder="1" applyAlignment="1">
      <alignment horizontal="center" vertical="center"/>
    </xf>
    <xf numFmtId="0" fontId="20" fillId="0" borderId="0" xfId="2211"/>
    <xf numFmtId="0" fontId="20" fillId="33" borderId="0" xfId="2211" applyFont="1" applyFill="1"/>
    <xf numFmtId="0" fontId="21" fillId="33" borderId="12" xfId="2211" applyFont="1" applyFill="1" applyBorder="1" applyAlignment="1">
      <alignment horizontal="center" vertical="center"/>
    </xf>
    <xf numFmtId="0" fontId="21" fillId="36" borderId="10" xfId="2211" applyFont="1" applyFill="1" applyBorder="1" applyAlignment="1">
      <alignment horizontal="center" vertical="center"/>
    </xf>
    <xf numFmtId="0" fontId="21" fillId="37" borderId="10" xfId="2211" applyFont="1" applyFill="1" applyBorder="1" applyAlignment="1">
      <alignment horizontal="center" vertical="center"/>
    </xf>
    <xf numFmtId="0" fontId="22" fillId="0" borderId="10" xfId="2211" applyFont="1" applyBorder="1" applyAlignment="1">
      <alignment horizontal="center" vertical="center"/>
    </xf>
    <xf numFmtId="0" fontId="20" fillId="0" borderId="10" xfId="2211" applyFont="1" applyBorder="1" applyAlignment="1">
      <alignment horizontal="center" vertical="center"/>
    </xf>
    <xf numFmtId="0" fontId="20" fillId="0" borderId="10" xfId="2211" applyBorder="1" applyAlignment="1">
      <alignment horizontal="center" vertical="center"/>
    </xf>
    <xf numFmtId="3" fontId="20" fillId="0" borderId="10" xfId="2211" applyNumberFormat="1" applyFont="1" applyBorder="1" applyAlignment="1">
      <alignment horizontal="center" vertical="center"/>
    </xf>
    <xf numFmtId="0" fontId="1" fillId="0" borderId="0" xfId="2192"/>
    <xf numFmtId="3" fontId="20" fillId="0" borderId="11" xfId="2211" applyNumberFormat="1" applyFont="1" applyBorder="1" applyAlignment="1">
      <alignment horizontal="center" vertical="center"/>
    </xf>
    <xf numFmtId="3" fontId="21" fillId="37" borderId="14" xfId="2211" applyNumberFormat="1" applyFont="1" applyFill="1" applyBorder="1" applyAlignment="1">
      <alignment horizontal="center" vertical="center"/>
    </xf>
    <xf numFmtId="0" fontId="21" fillId="0" borderId="13" xfId="2211" applyFont="1" applyBorder="1" applyAlignment="1">
      <alignment horizontal="center" vertical="center"/>
    </xf>
    <xf numFmtId="3" fontId="0" fillId="34" borderId="10" xfId="0" applyNumberFormat="1" applyFill="1" applyBorder="1" applyAlignment="1">
      <alignment horizontal="center" vertical="center"/>
    </xf>
    <xf numFmtId="0" fontId="20" fillId="0" borderId="0" xfId="2206"/>
    <xf numFmtId="0" fontId="20" fillId="33" borderId="0" xfId="2206" applyFont="1" applyFill="1"/>
    <xf numFmtId="0" fontId="21" fillId="33" borderId="12" xfId="2206" applyFont="1" applyFill="1" applyBorder="1" applyAlignment="1">
      <alignment horizontal="center" vertical="center"/>
    </xf>
    <xf numFmtId="0" fontId="21" fillId="36" borderId="10" xfId="2206" applyFont="1" applyFill="1" applyBorder="1" applyAlignment="1">
      <alignment horizontal="center" vertical="center"/>
    </xf>
    <xf numFmtId="0" fontId="21" fillId="37" borderId="10" xfId="2206" applyFont="1" applyFill="1" applyBorder="1" applyAlignment="1">
      <alignment horizontal="center" vertical="center"/>
    </xf>
    <xf numFmtId="0" fontId="22" fillId="0" borderId="10" xfId="2206" applyFont="1" applyBorder="1" applyAlignment="1">
      <alignment horizontal="center" vertical="center"/>
    </xf>
    <xf numFmtId="0" fontId="20" fillId="0" borderId="10" xfId="2206" applyFont="1" applyBorder="1" applyAlignment="1">
      <alignment horizontal="center" vertical="center"/>
    </xf>
    <xf numFmtId="0" fontId="20" fillId="0" borderId="10" xfId="2206" applyBorder="1" applyAlignment="1">
      <alignment horizontal="center" vertical="center"/>
    </xf>
    <xf numFmtId="3" fontId="20" fillId="0" borderId="10" xfId="2206" applyNumberFormat="1" applyFont="1" applyBorder="1" applyAlignment="1">
      <alignment horizontal="center" vertical="center"/>
    </xf>
    <xf numFmtId="0" fontId="1" fillId="0" borderId="0" xfId="478"/>
    <xf numFmtId="3" fontId="20" fillId="0" borderId="11" xfId="2206" applyNumberFormat="1" applyFont="1" applyBorder="1" applyAlignment="1">
      <alignment horizontal="center" vertical="center"/>
    </xf>
    <xf numFmtId="3" fontId="21" fillId="37" borderId="14" xfId="2206" applyNumberFormat="1" applyFont="1" applyFill="1" applyBorder="1" applyAlignment="1">
      <alignment horizontal="center" vertical="center"/>
    </xf>
    <xf numFmtId="0" fontId="21" fillId="0" borderId="13" xfId="2206" applyFont="1" applyBorder="1" applyAlignment="1">
      <alignment horizontal="center" vertical="center"/>
    </xf>
    <xf numFmtId="164" fontId="0" fillId="38" borderId="10" xfId="0" applyNumberFormat="1" applyFill="1" applyBorder="1" applyAlignment="1">
      <alignment horizontal="center" vertical="center" wrapText="1"/>
    </xf>
    <xf numFmtId="0" fontId="20" fillId="0" borderId="0" xfId="2214" applyFont="1"/>
    <xf numFmtId="0" fontId="20" fillId="33" borderId="0" xfId="2214" applyFont="1" applyFill="1"/>
    <xf numFmtId="0" fontId="20" fillId="0" borderId="0" xfId="2214" applyFont="1" applyAlignment="1">
      <alignment horizontal="center" vertical="center"/>
    </xf>
    <xf numFmtId="0" fontId="21" fillId="33" borderId="12" xfId="2214" applyFont="1" applyFill="1" applyBorder="1" applyAlignment="1">
      <alignment horizontal="center" vertical="center"/>
    </xf>
    <xf numFmtId="0" fontId="21" fillId="36" borderId="10" xfId="2214" applyFont="1" applyFill="1" applyBorder="1" applyAlignment="1">
      <alignment horizontal="center" vertical="center"/>
    </xf>
    <xf numFmtId="0" fontId="21" fillId="37" borderId="10" xfId="2214" applyFont="1" applyFill="1" applyBorder="1" applyAlignment="1">
      <alignment horizontal="center" vertical="center"/>
    </xf>
    <xf numFmtId="0" fontId="22" fillId="0" borderId="10" xfId="2214" applyFont="1" applyBorder="1" applyAlignment="1">
      <alignment horizontal="center" vertical="center"/>
    </xf>
    <xf numFmtId="0" fontId="20" fillId="0" borderId="10" xfId="2214" applyFont="1" applyBorder="1" applyAlignment="1">
      <alignment horizontal="center" vertical="center"/>
    </xf>
    <xf numFmtId="0" fontId="20" fillId="0" borderId="10" xfId="2214" applyBorder="1" applyAlignment="1">
      <alignment horizontal="center" vertical="center"/>
    </xf>
    <xf numFmtId="3" fontId="20" fillId="0" borderId="10" xfId="2214" applyNumberFormat="1" applyFont="1" applyBorder="1" applyAlignment="1">
      <alignment horizontal="center" vertical="center"/>
    </xf>
    <xf numFmtId="0" fontId="1" fillId="0" borderId="0" xfId="2191"/>
    <xf numFmtId="3" fontId="20" fillId="0" borderId="11" xfId="2214" applyNumberFormat="1" applyFont="1" applyBorder="1" applyAlignment="1">
      <alignment horizontal="center" vertical="center"/>
    </xf>
    <xf numFmtId="3" fontId="21" fillId="37" borderId="14" xfId="2214" applyNumberFormat="1" applyFont="1" applyFill="1" applyBorder="1" applyAlignment="1">
      <alignment horizontal="center" vertical="center"/>
    </xf>
    <xf numFmtId="0" fontId="21" fillId="0" borderId="13" xfId="2214" applyFont="1" applyBorder="1" applyAlignment="1">
      <alignment horizontal="center" vertical="center"/>
    </xf>
    <xf numFmtId="0" fontId="1" fillId="0" borderId="0" xfId="473" applyFill="1"/>
    <xf numFmtId="0" fontId="22" fillId="0" borderId="10" xfId="449" applyFont="1" applyFill="1" applyBorder="1" applyAlignment="1">
      <alignment horizontal="center" vertical="center"/>
    </xf>
    <xf numFmtId="0" fontId="21" fillId="0" borderId="10" xfId="451" applyFont="1" applyFill="1" applyBorder="1" applyAlignment="1">
      <alignment horizontal="center" vertical="center"/>
    </xf>
    <xf numFmtId="3" fontId="21" fillId="0" borderId="10" xfId="452" applyNumberFormat="1" applyFont="1" applyFill="1" applyBorder="1" applyAlignment="1">
      <alignment horizontal="center" vertical="center"/>
    </xf>
    <xf numFmtId="0" fontId="20" fillId="0" borderId="0" xfId="468" applyFill="1"/>
    <xf numFmtId="0" fontId="22" fillId="0" borderId="10" xfId="450" applyFont="1" applyFill="1" applyBorder="1" applyAlignment="1">
      <alignment horizontal="center" vertical="center"/>
    </xf>
    <xf numFmtId="0" fontId="20" fillId="0" borderId="10" xfId="450" applyFont="1" applyFill="1" applyBorder="1" applyAlignment="1">
      <alignment horizontal="center" vertical="center"/>
    </xf>
    <xf numFmtId="3" fontId="21" fillId="0" borderId="14" xfId="2199" applyNumberFormat="1" applyFont="1" applyFill="1" applyBorder="1" applyAlignment="1">
      <alignment horizontal="center" vertical="center"/>
    </xf>
    <xf numFmtId="3" fontId="21" fillId="0" borderId="14" xfId="468" applyNumberFormat="1" applyFont="1" applyFill="1" applyBorder="1" applyAlignment="1">
      <alignment horizontal="center" vertical="center"/>
    </xf>
    <xf numFmtId="3" fontId="1" fillId="0" borderId="0" xfId="473" applyNumberForma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/>
    <xf numFmtId="0" fontId="21" fillId="40" borderId="10" xfId="451" applyFont="1" applyFill="1" applyBorder="1" applyAlignment="1">
      <alignment horizontal="center" vertical="center"/>
    </xf>
    <xf numFmtId="0" fontId="21" fillId="41" borderId="10" xfId="468" applyFont="1" applyFill="1" applyBorder="1" applyAlignment="1">
      <alignment horizontal="center" vertical="center"/>
    </xf>
    <xf numFmtId="3" fontId="0" fillId="41" borderId="10" xfId="0" applyNumberFormat="1" applyFill="1" applyBorder="1" applyAlignment="1">
      <alignment horizontal="center" vertical="center"/>
    </xf>
    <xf numFmtId="3" fontId="20" fillId="40" borderId="10" xfId="468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 vertical="center" wrapText="1"/>
    </xf>
    <xf numFmtId="165" fontId="0" fillId="0" borderId="10" xfId="0" applyNumberFormat="1" applyFill="1" applyBorder="1" applyAlignment="1">
      <alignment horizontal="center" vertical="center" wrapText="1"/>
    </xf>
    <xf numFmtId="2" fontId="0" fillId="0" borderId="10" xfId="0" applyNumberFormat="1" applyFill="1" applyBorder="1" applyAlignment="1">
      <alignment horizontal="center" vertical="center" wrapText="1"/>
    </xf>
    <xf numFmtId="2" fontId="0" fillId="33" borderId="10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6" fontId="0" fillId="45" borderId="32" xfId="0" applyNumberFormat="1" applyFill="1" applyBorder="1" applyAlignment="1">
      <alignment horizontal="center" vertical="center"/>
    </xf>
    <xf numFmtId="166" fontId="0" fillId="0" borderId="16" xfId="0" applyNumberFormat="1" applyBorder="1" applyAlignment="1">
      <alignment horizontal="left" vertical="center"/>
    </xf>
    <xf numFmtId="165" fontId="0" fillId="0" borderId="10" xfId="0" applyNumberFormat="1" applyBorder="1" applyAlignment="1">
      <alignment horizontal="center" vertical="center" wrapText="1"/>
    </xf>
    <xf numFmtId="166" fontId="0" fillId="33" borderId="26" xfId="0" applyNumberFormat="1" applyFill="1" applyBorder="1"/>
    <xf numFmtId="166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166" fontId="0" fillId="0" borderId="21" xfId="0" applyNumberFormat="1" applyBorder="1" applyAlignment="1">
      <alignment horizontal="left" vertical="center"/>
    </xf>
    <xf numFmtId="2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45" borderId="19" xfId="0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16" xfId="0" applyBorder="1"/>
    <xf numFmtId="166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33" borderId="0" xfId="0" applyNumberFormat="1" applyFill="1" applyBorder="1" applyAlignment="1">
      <alignment horizontal="center" vertical="center"/>
    </xf>
    <xf numFmtId="166" fontId="0" fillId="0" borderId="19" xfId="0" applyNumberFormat="1" applyBorder="1" applyAlignment="1">
      <alignment horizontal="left" vertical="center"/>
    </xf>
    <xf numFmtId="166" fontId="0" fillId="0" borderId="18" xfId="0" applyNumberFormat="1" applyBorder="1" applyAlignment="1">
      <alignment horizontal="center" vertical="center"/>
    </xf>
    <xf numFmtId="0" fontId="0" fillId="0" borderId="0" xfId="0"/>
    <xf numFmtId="4" fontId="0" fillId="44" borderId="0" xfId="0" applyNumberFormat="1" applyFill="1"/>
    <xf numFmtId="0" fontId="0" fillId="0" borderId="0" xfId="0"/>
    <xf numFmtId="2" fontId="0" fillId="0" borderId="0" xfId="0" applyNumberFormat="1" applyBorder="1" applyAlignment="1">
      <alignment horizontal="center" vertical="center"/>
    </xf>
    <xf numFmtId="166" fontId="0" fillId="0" borderId="16" xfId="0" applyNumberFormat="1" applyBorder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0" xfId="0"/>
    <xf numFmtId="166" fontId="0" fillId="45" borderId="34" xfId="0" applyNumberFormat="1" applyFill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6" fontId="0" fillId="0" borderId="21" xfId="0" applyNumberFormat="1" applyBorder="1"/>
    <xf numFmtId="4" fontId="0" fillId="44" borderId="10" xfId="0" applyNumberFormat="1" applyFill="1" applyBorder="1" applyAlignment="1">
      <alignment horizontal="center" vertical="center"/>
    </xf>
    <xf numFmtId="166" fontId="0" fillId="0" borderId="19" xfId="0" applyNumberFormat="1" applyBorder="1"/>
    <xf numFmtId="0" fontId="0" fillId="0" borderId="15" xfId="0" applyFill="1" applyBorder="1" applyAlignment="1">
      <alignment horizontal="center" vertical="center" wrapText="1"/>
    </xf>
    <xf numFmtId="0" fontId="0" fillId="33" borderId="25" xfId="0" applyFill="1" applyBorder="1" applyAlignment="1">
      <alignment horizontal="right" vertical="center"/>
    </xf>
    <xf numFmtId="14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/>
    <xf numFmtId="2" fontId="0" fillId="0" borderId="1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0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0" xfId="0"/>
    <xf numFmtId="0" fontId="0" fillId="0" borderId="10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0" fontId="0" fillId="0" borderId="0" xfId="0" applyFill="1"/>
    <xf numFmtId="4" fontId="0" fillId="0" borderId="10" xfId="0" applyNumberFormat="1" applyFill="1" applyBorder="1" applyAlignment="1">
      <alignment horizontal="center" vertical="center"/>
    </xf>
    <xf numFmtId="4" fontId="0" fillId="0" borderId="0" xfId="0" applyNumberFormat="1" applyFill="1"/>
    <xf numFmtId="2" fontId="0" fillId="33" borderId="10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14" fontId="0" fillId="44" borderId="10" xfId="0" applyNumberFormat="1" applyFill="1" applyBorder="1" applyAlignment="1">
      <alignment horizontal="center" vertical="center"/>
    </xf>
    <xf numFmtId="0" fontId="0" fillId="44" borderId="10" xfId="0" applyFill="1" applyBorder="1" applyAlignment="1">
      <alignment horizontal="center" vertical="center"/>
    </xf>
    <xf numFmtId="0" fontId="0" fillId="44" borderId="10" xfId="0" applyFill="1" applyBorder="1" applyAlignment="1">
      <alignment horizontal="center" vertical="center" wrapText="1"/>
    </xf>
    <xf numFmtId="4" fontId="0" fillId="44" borderId="10" xfId="0" applyNumberFormat="1" applyFill="1" applyBorder="1" applyAlignment="1">
      <alignment horizontal="center" vertical="center" wrapText="1"/>
    </xf>
    <xf numFmtId="165" fontId="0" fillId="44" borderId="10" xfId="0" applyNumberFormat="1" applyFill="1" applyBorder="1" applyAlignment="1">
      <alignment horizontal="center" vertical="center" wrapText="1"/>
    </xf>
    <xf numFmtId="2" fontId="0" fillId="44" borderId="10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66" fontId="0" fillId="0" borderId="21" xfId="0" applyNumberForma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35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0" fontId="0" fillId="45" borderId="30" xfId="0" applyFill="1" applyBorder="1" applyAlignment="1">
      <alignment horizontal="center" vertical="center"/>
    </xf>
    <xf numFmtId="0" fontId="0" fillId="45" borderId="31" xfId="0" applyFill="1" applyBorder="1" applyAlignment="1">
      <alignment horizontal="center" vertical="center"/>
    </xf>
    <xf numFmtId="0" fontId="0" fillId="45" borderId="33" xfId="0" applyFill="1" applyBorder="1" applyAlignment="1">
      <alignment horizontal="center" vertical="center"/>
    </xf>
    <xf numFmtId="0" fontId="0" fillId="45" borderId="27" xfId="0" applyFill="1" applyBorder="1" applyAlignment="1">
      <alignment horizontal="center" vertical="center"/>
    </xf>
    <xf numFmtId="0" fontId="0" fillId="45" borderId="28" xfId="0" applyFill="1" applyBorder="1" applyAlignment="1">
      <alignment horizontal="center" vertical="center"/>
    </xf>
    <xf numFmtId="0" fontId="0" fillId="45" borderId="29" xfId="0" applyFill="1" applyBorder="1" applyAlignment="1">
      <alignment horizontal="center" vertical="center"/>
    </xf>
    <xf numFmtId="0" fontId="0" fillId="42" borderId="10" xfId="0" applyFill="1" applyBorder="1" applyAlignment="1">
      <alignment horizontal="center" vertical="center"/>
    </xf>
    <xf numFmtId="0" fontId="0" fillId="43" borderId="10" xfId="0" applyFill="1" applyBorder="1" applyAlignment="1">
      <alignment horizontal="center" vertical="center"/>
    </xf>
    <xf numFmtId="0" fontId="0" fillId="42" borderId="10" xfId="0" applyFill="1" applyBorder="1" applyAlignment="1">
      <alignment horizontal="center"/>
    </xf>
    <xf numFmtId="0" fontId="0" fillId="43" borderId="10" xfId="0" applyFill="1" applyBorder="1" applyAlignment="1">
      <alignment horizontal="center"/>
    </xf>
  </cellXfs>
  <cellStyles count="2249">
    <cellStyle name="20% - Accent1" xfId="19" builtinId="30" customBuiltin="1"/>
    <cellStyle name="20% - Accent1 10" xfId="1046"/>
    <cellStyle name="20% - Accent1 11" xfId="1064"/>
    <cellStyle name="20% - Accent1 12" xfId="1083"/>
    <cellStyle name="20% - Accent1 13" xfId="1099"/>
    <cellStyle name="20% - Accent1 14" xfId="1116"/>
    <cellStyle name="20% - Accent1 15" xfId="1134"/>
    <cellStyle name="20% - Accent1 16" xfId="1151"/>
    <cellStyle name="20% - Accent1 17" xfId="1170"/>
    <cellStyle name="20% - Accent1 18" xfId="1187"/>
    <cellStyle name="20% - Accent1 19" xfId="1204"/>
    <cellStyle name="20% - Accent1 2" xfId="509"/>
    <cellStyle name="20% - Accent1 20" xfId="1227"/>
    <cellStyle name="20% - Accent1 21" xfId="1238"/>
    <cellStyle name="20% - Accent1 22" xfId="1254"/>
    <cellStyle name="20% - Accent1 23" xfId="1271"/>
    <cellStyle name="20% - Accent1 24" xfId="1290"/>
    <cellStyle name="20% - Accent1 25" xfId="1308"/>
    <cellStyle name="20% - Accent1 26" xfId="1327"/>
    <cellStyle name="20% - Accent1 27" xfId="1344"/>
    <cellStyle name="20% - Accent1 28" xfId="1362"/>
    <cellStyle name="20% - Accent1 29" xfId="1378"/>
    <cellStyle name="20% - Accent1 3" xfId="920"/>
    <cellStyle name="20% - Accent1 30" xfId="1394"/>
    <cellStyle name="20% - Accent1 31" xfId="1413"/>
    <cellStyle name="20% - Accent1 32" xfId="1431"/>
    <cellStyle name="20% - Accent1 33" xfId="1448"/>
    <cellStyle name="20% - Accent1 34" xfId="1465"/>
    <cellStyle name="20% - Accent1 35" xfId="1482"/>
    <cellStyle name="20% - Accent1 36" xfId="1498"/>
    <cellStyle name="20% - Accent1 37" xfId="1512"/>
    <cellStyle name="20% - Accent1 38" xfId="1527"/>
    <cellStyle name="20% - Accent1 39" xfId="1542"/>
    <cellStyle name="20% - Accent1 4" xfId="939"/>
    <cellStyle name="20% - Accent1 40" xfId="1559"/>
    <cellStyle name="20% - Accent1 41" xfId="1575"/>
    <cellStyle name="20% - Accent1 42" xfId="1599"/>
    <cellStyle name="20% - Accent1 43" xfId="1609"/>
    <cellStyle name="20% - Accent1 44" xfId="1625"/>
    <cellStyle name="20% - Accent1 45" xfId="1641"/>
    <cellStyle name="20% - Accent1 46" xfId="1657"/>
    <cellStyle name="20% - Accent1 47" xfId="1673"/>
    <cellStyle name="20% - Accent1 48" xfId="1689"/>
    <cellStyle name="20% - Accent1 49" xfId="1705"/>
    <cellStyle name="20% - Accent1 5" xfId="957"/>
    <cellStyle name="20% - Accent1 50" xfId="1720"/>
    <cellStyle name="20% - Accent1 51" xfId="1735"/>
    <cellStyle name="20% - Accent1 52" xfId="1750"/>
    <cellStyle name="20% - Accent1 53" xfId="1765"/>
    <cellStyle name="20% - Accent1 54" xfId="1780"/>
    <cellStyle name="20% - Accent1 55" xfId="1795"/>
    <cellStyle name="20% - Accent1 56" xfId="1810"/>
    <cellStyle name="20% - Accent1 57" xfId="1825"/>
    <cellStyle name="20% - Accent1 58" xfId="1840"/>
    <cellStyle name="20% - Accent1 59" xfId="1855"/>
    <cellStyle name="20% - Accent1 6" xfId="976"/>
    <cellStyle name="20% - Accent1 60" xfId="1870"/>
    <cellStyle name="20% - Accent1 61" xfId="1885"/>
    <cellStyle name="20% - Accent1 62" xfId="1898"/>
    <cellStyle name="20% - Accent1 63" xfId="1911"/>
    <cellStyle name="20% - Accent1 64" xfId="1924"/>
    <cellStyle name="20% - Accent1 65" xfId="1936"/>
    <cellStyle name="20% - Accent1 66" xfId="1948"/>
    <cellStyle name="20% - Accent1 67" xfId="1960"/>
    <cellStyle name="20% - Accent1 68" xfId="1972"/>
    <cellStyle name="20% - Accent1 69" xfId="1984"/>
    <cellStyle name="20% - Accent1 7" xfId="995"/>
    <cellStyle name="20% - Accent1 70" xfId="1996"/>
    <cellStyle name="20% - Accent1 71" xfId="2008"/>
    <cellStyle name="20% - Accent1 72" xfId="2020"/>
    <cellStyle name="20% - Accent1 73" xfId="2032"/>
    <cellStyle name="20% - Accent1 74" xfId="2044"/>
    <cellStyle name="20% - Accent1 75" xfId="2056"/>
    <cellStyle name="20% - Accent1 76" xfId="2068"/>
    <cellStyle name="20% - Accent1 77" xfId="2080"/>
    <cellStyle name="20% - Accent1 78" xfId="2091"/>
    <cellStyle name="20% - Accent1 79" xfId="2101"/>
    <cellStyle name="20% - Accent1 8" xfId="1011"/>
    <cellStyle name="20% - Accent1 80" xfId="2111"/>
    <cellStyle name="20% - Accent1 81" xfId="2121"/>
    <cellStyle name="20% - Accent1 82" xfId="2129"/>
    <cellStyle name="20% - Accent1 83" xfId="2136"/>
    <cellStyle name="20% - Accent1 84" xfId="2143"/>
    <cellStyle name="20% - Accent1 85" xfId="2150"/>
    <cellStyle name="20% - Accent1 86" xfId="2157"/>
    <cellStyle name="20% - Accent1 87" xfId="2163"/>
    <cellStyle name="20% - Accent1 88" xfId="2168"/>
    <cellStyle name="20% - Accent1 89" xfId="2173"/>
    <cellStyle name="20% - Accent1 9" xfId="1029"/>
    <cellStyle name="20% - Accent1 90" xfId="2178"/>
    <cellStyle name="20% - Accent2" xfId="23" builtinId="34" customBuiltin="1"/>
    <cellStyle name="20% - Accent2 10" xfId="1057"/>
    <cellStyle name="20% - Accent2 11" xfId="1075"/>
    <cellStyle name="20% - Accent2 12" xfId="1093"/>
    <cellStyle name="20% - Accent2 13" xfId="1109"/>
    <cellStyle name="20% - Accent2 14" xfId="1126"/>
    <cellStyle name="20% - Accent2 15" xfId="1143"/>
    <cellStyle name="20% - Accent2 16" xfId="1162"/>
    <cellStyle name="20% - Accent2 17" xfId="1179"/>
    <cellStyle name="20% - Accent2 18" xfId="1196"/>
    <cellStyle name="20% - Accent2 19" xfId="1210"/>
    <cellStyle name="20% - Accent2 2" xfId="512"/>
    <cellStyle name="20% - Accent2 20" xfId="678"/>
    <cellStyle name="20% - Accent2 21" xfId="1247"/>
    <cellStyle name="20% - Accent2 22" xfId="1263"/>
    <cellStyle name="20% - Accent2 23" xfId="1282"/>
    <cellStyle name="20% - Accent2 24" xfId="1300"/>
    <cellStyle name="20% - Accent2 25" xfId="1319"/>
    <cellStyle name="20% - Accent2 26" xfId="1337"/>
    <cellStyle name="20% - Accent2 27" xfId="1354"/>
    <cellStyle name="20% - Accent2 28" xfId="1372"/>
    <cellStyle name="20% - Accent2 29" xfId="1388"/>
    <cellStyle name="20% - Accent2 3" xfId="931"/>
    <cellStyle name="20% - Accent2 30" xfId="1405"/>
    <cellStyle name="20% - Accent2 31" xfId="1423"/>
    <cellStyle name="20% - Accent2 32" xfId="1441"/>
    <cellStyle name="20% - Accent2 33" xfId="1458"/>
    <cellStyle name="20% - Accent2 34" xfId="1476"/>
    <cellStyle name="20% - Accent2 35" xfId="1492"/>
    <cellStyle name="20% - Accent2 36" xfId="1506"/>
    <cellStyle name="20% - Accent2 37" xfId="1521"/>
    <cellStyle name="20% - Accent2 38" xfId="1536"/>
    <cellStyle name="20% - Accent2 39" xfId="1552"/>
    <cellStyle name="20% - Accent2 4" xfId="950"/>
    <cellStyle name="20% - Accent2 40" xfId="1567"/>
    <cellStyle name="20% - Accent2 41" xfId="1583"/>
    <cellStyle name="20% - Accent2 42" xfId="1513"/>
    <cellStyle name="20% - Accent2 43" xfId="1617"/>
    <cellStyle name="20% - Accent2 44" xfId="1633"/>
    <cellStyle name="20% - Accent2 45" xfId="1649"/>
    <cellStyle name="20% - Accent2 46" xfId="1665"/>
    <cellStyle name="20% - Accent2 47" xfId="1681"/>
    <cellStyle name="20% - Accent2 48" xfId="1697"/>
    <cellStyle name="20% - Accent2 49" xfId="1713"/>
    <cellStyle name="20% - Accent2 5" xfId="968"/>
    <cellStyle name="20% - Accent2 50" xfId="1728"/>
    <cellStyle name="20% - Accent2 51" xfId="1743"/>
    <cellStyle name="20% - Accent2 52" xfId="1758"/>
    <cellStyle name="20% - Accent2 53" xfId="1773"/>
    <cellStyle name="20% - Accent2 54" xfId="1788"/>
    <cellStyle name="20% - Accent2 55" xfId="1803"/>
    <cellStyle name="20% - Accent2 56" xfId="1818"/>
    <cellStyle name="20% - Accent2 57" xfId="1833"/>
    <cellStyle name="20% - Accent2 58" xfId="1848"/>
    <cellStyle name="20% - Accent2 59" xfId="1863"/>
    <cellStyle name="20% - Accent2 6" xfId="987"/>
    <cellStyle name="20% - Accent2 60" xfId="1878"/>
    <cellStyle name="20% - Accent2 61" xfId="1891"/>
    <cellStyle name="20% - Accent2 62" xfId="1904"/>
    <cellStyle name="20% - Accent2 63" xfId="1917"/>
    <cellStyle name="20% - Accent2 64" xfId="1930"/>
    <cellStyle name="20% - Accent2 65" xfId="1942"/>
    <cellStyle name="20% - Accent2 66" xfId="1954"/>
    <cellStyle name="20% - Accent2 67" xfId="1966"/>
    <cellStyle name="20% - Accent2 68" xfId="1978"/>
    <cellStyle name="20% - Accent2 69" xfId="1990"/>
    <cellStyle name="20% - Accent2 7" xfId="1004"/>
    <cellStyle name="20% - Accent2 70" xfId="2002"/>
    <cellStyle name="20% - Accent2 71" xfId="2014"/>
    <cellStyle name="20% - Accent2 72" xfId="2026"/>
    <cellStyle name="20% - Accent2 73" xfId="2038"/>
    <cellStyle name="20% - Accent2 74" xfId="2050"/>
    <cellStyle name="20% - Accent2 75" xfId="2062"/>
    <cellStyle name="20% - Accent2 76" xfId="2074"/>
    <cellStyle name="20% - Accent2 77" xfId="2086"/>
    <cellStyle name="20% - Accent2 78" xfId="2097"/>
    <cellStyle name="20% - Accent2 79" xfId="2107"/>
    <cellStyle name="20% - Accent2 8" xfId="1022"/>
    <cellStyle name="20% - Accent2 80" xfId="2117"/>
    <cellStyle name="20% - Accent2 81" xfId="2125"/>
    <cellStyle name="20% - Accent2 82" xfId="2132"/>
    <cellStyle name="20% - Accent2 83" xfId="2139"/>
    <cellStyle name="20% - Accent2 84" xfId="2146"/>
    <cellStyle name="20% - Accent2 85" xfId="2153"/>
    <cellStyle name="20% - Accent2 86" xfId="2160"/>
    <cellStyle name="20% - Accent2 87" xfId="2165"/>
    <cellStyle name="20% - Accent2 88" xfId="2170"/>
    <cellStyle name="20% - Accent2 89" xfId="2175"/>
    <cellStyle name="20% - Accent2 9" xfId="1039"/>
    <cellStyle name="20% - Accent2 90" xfId="2180"/>
    <cellStyle name="20% - Accent3" xfId="27" builtinId="38" customBuiltin="1"/>
    <cellStyle name="20% - Accent3 10" xfId="694"/>
    <cellStyle name="20% - Accent3 11" xfId="781"/>
    <cellStyle name="20% - Accent3 12" xfId="779"/>
    <cellStyle name="20% - Accent3 13" xfId="815"/>
    <cellStyle name="20% - Accent3 14" xfId="883"/>
    <cellStyle name="20% - Accent3 15" xfId="645"/>
    <cellStyle name="20% - Accent3 16" xfId="675"/>
    <cellStyle name="20% - Accent3 17" xfId="582"/>
    <cellStyle name="20% - Accent3 18" xfId="706"/>
    <cellStyle name="20% - Accent3 19" xfId="607"/>
    <cellStyle name="20% - Accent3 2" xfId="515"/>
    <cellStyle name="20% - Accent3 20" xfId="1067"/>
    <cellStyle name="20% - Accent3 21" xfId="1008"/>
    <cellStyle name="20% - Accent3 22" xfId="1200"/>
    <cellStyle name="20% - Accent3 23" xfId="528"/>
    <cellStyle name="20% - Accent3 24" xfId="1012"/>
    <cellStyle name="20% - Accent3 25" xfId="1183"/>
    <cellStyle name="20% - Accent3 26" xfId="646"/>
    <cellStyle name="20% - Accent3 27" xfId="789"/>
    <cellStyle name="20% - Accent3 28" xfId="853"/>
    <cellStyle name="20% - Accent3 29" xfId="1149"/>
    <cellStyle name="20% - Accent3 3" xfId="563"/>
    <cellStyle name="20% - Accent3 30" xfId="775"/>
    <cellStyle name="20% - Accent3 31" xfId="577"/>
    <cellStyle name="20% - Accent3 32" xfId="1216"/>
    <cellStyle name="20% - Accent3 33" xfId="505"/>
    <cellStyle name="20% - Accent3 34" xfId="1177"/>
    <cellStyle name="20% - Accent3 35" xfId="1141"/>
    <cellStyle name="20% - Accent3 36" xfId="1097"/>
    <cellStyle name="20% - Accent3 37" xfId="1191"/>
    <cellStyle name="20% - Accent3 38" xfId="817"/>
    <cellStyle name="20% - Accent3 39" xfId="825"/>
    <cellStyle name="20% - Accent3 4" xfId="764"/>
    <cellStyle name="20% - Accent3 40" xfId="887"/>
    <cellStyle name="20% - Accent3 41" xfId="514"/>
    <cellStyle name="20% - Accent3 42" xfId="819"/>
    <cellStyle name="20% - Accent3 43" xfId="1258"/>
    <cellStyle name="20% - Accent3 44" xfId="710"/>
    <cellStyle name="20% - Accent3 45" xfId="1314"/>
    <cellStyle name="20% - Accent3 46" xfId="1445"/>
    <cellStyle name="20% - Accent3 47" xfId="869"/>
    <cellStyle name="20% - Accent3 48" xfId="1104"/>
    <cellStyle name="20% - Accent3 49" xfId="1270"/>
    <cellStyle name="20% - Accent3 5" xfId="616"/>
    <cellStyle name="20% - Accent3 50" xfId="1253"/>
    <cellStyle name="20% - Accent3 51" xfId="758"/>
    <cellStyle name="20% - Accent3 52" xfId="501"/>
    <cellStyle name="20% - Accent3 53" xfId="571"/>
    <cellStyle name="20% - Accent3 54" xfId="1418"/>
    <cellStyle name="20% - Accent3 55" xfId="1557"/>
    <cellStyle name="20% - Accent3 56" xfId="886"/>
    <cellStyle name="20% - Accent3 57" xfId="1548"/>
    <cellStyle name="20% - Accent3 58" xfId="1561"/>
    <cellStyle name="20% - Accent3 59" xfId="1298"/>
    <cellStyle name="20% - Accent3 6" xfId="588"/>
    <cellStyle name="20% - Accent3 60" xfId="1117"/>
    <cellStyle name="20% - Accent3 61" xfId="732"/>
    <cellStyle name="20% - Accent3 62" xfId="1199"/>
    <cellStyle name="20% - Accent3 63" xfId="787"/>
    <cellStyle name="20% - Accent3 64" xfId="797"/>
    <cellStyle name="20% - Accent3 65" xfId="1203"/>
    <cellStyle name="20% - Accent3 66" xfId="845"/>
    <cellStyle name="20% - Accent3 67" xfId="744"/>
    <cellStyle name="20% - Accent3 68" xfId="544"/>
    <cellStyle name="20% - Accent3 69" xfId="1412"/>
    <cellStyle name="20% - Accent3 7" xfId="627"/>
    <cellStyle name="20% - Accent3 70" xfId="803"/>
    <cellStyle name="20% - Accent3 71" xfId="892"/>
    <cellStyle name="20% - Accent3 72" xfId="956"/>
    <cellStyle name="20% - Accent3 73" xfId="1503"/>
    <cellStyle name="20% - Accent3 74" xfId="566"/>
    <cellStyle name="20% - Accent3 75" xfId="1027"/>
    <cellStyle name="20% - Accent3 76" xfId="1030"/>
    <cellStyle name="20% - Accent3 77" xfId="1080"/>
    <cellStyle name="20% - Accent3 78" xfId="1546"/>
    <cellStyle name="20% - Accent3 79" xfId="1331"/>
    <cellStyle name="20% - Accent3 8" xfId="580"/>
    <cellStyle name="20% - Accent3 80" xfId="1233"/>
    <cellStyle name="20% - Accent3 81" xfId="1510"/>
    <cellStyle name="20% - Accent3 82" xfId="1189"/>
    <cellStyle name="20% - Accent3 83" xfId="1565"/>
    <cellStyle name="20% - Accent3 84" xfId="1605"/>
    <cellStyle name="20% - Accent3 85" xfId="1621"/>
    <cellStyle name="20% - Accent3 86" xfId="1637"/>
    <cellStyle name="20% - Accent3 87" xfId="1653"/>
    <cellStyle name="20% - Accent3 88" xfId="1669"/>
    <cellStyle name="20% - Accent3 89" xfId="1685"/>
    <cellStyle name="20% - Accent3 9" xfId="727"/>
    <cellStyle name="20% - Accent3 90" xfId="1701"/>
    <cellStyle name="20% - Accent4" xfId="31" builtinId="42" customBuiltin="1"/>
    <cellStyle name="20% - Accent4 10" xfId="716"/>
    <cellStyle name="20% - Accent4 11" xfId="795"/>
    <cellStyle name="20% - Accent4 12" xfId="654"/>
    <cellStyle name="20% - Accent4 13" xfId="840"/>
    <cellStyle name="20% - Accent4 14" xfId="609"/>
    <cellStyle name="20% - Accent4 15" xfId="599"/>
    <cellStyle name="20% - Accent4 16" xfId="574"/>
    <cellStyle name="20% - Accent4 17" xfId="782"/>
    <cellStyle name="20% - Accent4 18" xfId="757"/>
    <cellStyle name="20% - Accent4 19" xfId="721"/>
    <cellStyle name="20% - Accent4 2" xfId="519"/>
    <cellStyle name="20% - Accent4 20" xfId="1153"/>
    <cellStyle name="20% - Accent4 21" xfId="715"/>
    <cellStyle name="20% - Accent4 22" xfId="1063"/>
    <cellStyle name="20% - Accent4 23" xfId="948"/>
    <cellStyle name="20% - Accent4 24" xfId="1122"/>
    <cellStyle name="20% - Accent4 25" xfId="980"/>
    <cellStyle name="20% - Accent4 26" xfId="540"/>
    <cellStyle name="20% - Accent4 27" xfId="850"/>
    <cellStyle name="20% - Accent4 28" xfId="1069"/>
    <cellStyle name="20% - Accent4 29" xfId="725"/>
    <cellStyle name="20% - Accent4 3" xfId="591"/>
    <cellStyle name="20% - Accent4 30" xfId="830"/>
    <cellStyle name="20% - Accent4 31" xfId="1201"/>
    <cellStyle name="20% - Accent4 32" xfId="614"/>
    <cellStyle name="20% - Accent4 33" xfId="592"/>
    <cellStyle name="20% - Accent4 34" xfId="784"/>
    <cellStyle name="20% - Accent4 35" xfId="904"/>
    <cellStyle name="20% - Accent4 36" xfId="909"/>
    <cellStyle name="20% - Accent4 37" xfId="703"/>
    <cellStyle name="20% - Accent4 38" xfId="561"/>
    <cellStyle name="20% - Accent4 39" xfId="919"/>
    <cellStyle name="20% - Accent4 4" xfId="677"/>
    <cellStyle name="20% - Accent4 40" xfId="1222"/>
    <cellStyle name="20% - Accent4 41" xfId="564"/>
    <cellStyle name="20% - Accent4 42" xfId="1034"/>
    <cellStyle name="20% - Accent4 43" xfId="1395"/>
    <cellStyle name="20% - Accent4 44" xfId="1564"/>
    <cellStyle name="20% - Accent4 45" xfId="996"/>
    <cellStyle name="20% - Accent4 46" xfId="1349"/>
    <cellStyle name="20% - Accent4 47" xfId="1358"/>
    <cellStyle name="20% - Accent4 48" xfId="761"/>
    <cellStyle name="20% - Accent4 49" xfId="1487"/>
    <cellStyle name="20% - Accent4 5" xfId="569"/>
    <cellStyle name="20% - Accent4 50" xfId="1309"/>
    <cellStyle name="20% - Accent4 51" xfId="1323"/>
    <cellStyle name="20% - Accent4 52" xfId="1175"/>
    <cellStyle name="20% - Accent4 53" xfId="1539"/>
    <cellStyle name="20% - Accent4 54" xfId="1496"/>
    <cellStyle name="20% - Accent4 55" xfId="1243"/>
    <cellStyle name="20% - Accent4 56" xfId="1485"/>
    <cellStyle name="20% - Accent4 57" xfId="552"/>
    <cellStyle name="20% - Accent4 58" xfId="1185"/>
    <cellStyle name="20% - Accent4 59" xfId="497"/>
    <cellStyle name="20% - Accent4 6" xfId="847"/>
    <cellStyle name="20% - Accent4 60" xfId="1571"/>
    <cellStyle name="20% - Accent4 61" xfId="671"/>
    <cellStyle name="20% - Accent4 62" xfId="1597"/>
    <cellStyle name="20% - Accent4 63" xfId="1035"/>
    <cellStyle name="20% - Accent4 64" xfId="1529"/>
    <cellStyle name="20% - Accent4 65" xfId="636"/>
    <cellStyle name="20% - Accent4 66" xfId="1152"/>
    <cellStyle name="20% - Accent4 67" xfId="1215"/>
    <cellStyle name="20% - Accent4 68" xfId="1186"/>
    <cellStyle name="20% - Accent4 69" xfId="1447"/>
    <cellStyle name="20% - Accent4 7" xfId="820"/>
    <cellStyle name="20% - Accent4 70" xfId="972"/>
    <cellStyle name="20% - Accent4 71" xfId="1603"/>
    <cellStyle name="20% - Accent4 72" xfId="1601"/>
    <cellStyle name="20% - Accent4 73" xfId="1615"/>
    <cellStyle name="20% - Accent4 74" xfId="1631"/>
    <cellStyle name="20% - Accent4 75" xfId="1647"/>
    <cellStyle name="20% - Accent4 76" xfId="1663"/>
    <cellStyle name="20% - Accent4 77" xfId="1679"/>
    <cellStyle name="20% - Accent4 78" xfId="1695"/>
    <cellStyle name="20% - Accent4 79" xfId="1711"/>
    <cellStyle name="20% - Accent4 8" xfId="768"/>
    <cellStyle name="20% - Accent4 80" xfId="1726"/>
    <cellStyle name="20% - Accent4 81" xfId="1741"/>
    <cellStyle name="20% - Accent4 82" xfId="1756"/>
    <cellStyle name="20% - Accent4 83" xfId="1771"/>
    <cellStyle name="20% - Accent4 84" xfId="1786"/>
    <cellStyle name="20% - Accent4 85" xfId="1801"/>
    <cellStyle name="20% - Accent4 86" xfId="1816"/>
    <cellStyle name="20% - Accent4 87" xfId="1831"/>
    <cellStyle name="20% - Accent4 88" xfId="1846"/>
    <cellStyle name="20% - Accent4 89" xfId="1861"/>
    <cellStyle name="20% - Accent4 9" xfId="875"/>
    <cellStyle name="20% - Accent4 90" xfId="1876"/>
    <cellStyle name="20% - Accent5" xfId="35" builtinId="46" customBuiltin="1"/>
    <cellStyle name="20% - Accent5 10" xfId="598"/>
    <cellStyle name="20% - Accent5 11" xfId="542"/>
    <cellStyle name="20% - Accent5 12" xfId="780"/>
    <cellStyle name="20% - Accent5 13" xfId="821"/>
    <cellStyle name="20% - Accent5 14" xfId="844"/>
    <cellStyle name="20% - Accent5 15" xfId="889"/>
    <cellStyle name="20% - Accent5 16" xfId="917"/>
    <cellStyle name="20% - Accent5 17" xfId="936"/>
    <cellStyle name="20% - Accent5 18" xfId="954"/>
    <cellStyle name="20% - Accent5 19" xfId="973"/>
    <cellStyle name="20% - Accent5 2" xfId="523"/>
    <cellStyle name="20% - Accent5 20" xfId="1053"/>
    <cellStyle name="20% - Accent5 21" xfId="801"/>
    <cellStyle name="20% - Accent5 22" xfId="596"/>
    <cellStyle name="20% - Accent5 23" xfId="620"/>
    <cellStyle name="20% - Accent5 24" xfId="790"/>
    <cellStyle name="20% - Accent5 25" xfId="1043"/>
    <cellStyle name="20% - Accent5 26" xfId="866"/>
    <cellStyle name="20% - Accent5 27" xfId="641"/>
    <cellStyle name="20% - Accent5 28" xfId="1158"/>
    <cellStyle name="20% - Accent5 29" xfId="622"/>
    <cellStyle name="20% - Accent5 3" xfId="568"/>
    <cellStyle name="20% - Accent5 30" xfId="676"/>
    <cellStyle name="20% - Accent5 31" xfId="712"/>
    <cellStyle name="20% - Accent5 32" xfId="963"/>
    <cellStyle name="20% - Accent5 33" xfId="772"/>
    <cellStyle name="20% - Accent5 34" xfId="1236"/>
    <cellStyle name="20% - Accent5 35" xfId="1251"/>
    <cellStyle name="20% - Accent5 36" xfId="1268"/>
    <cellStyle name="20% - Accent5 37" xfId="1287"/>
    <cellStyle name="20% - Accent5 38" xfId="1305"/>
    <cellStyle name="20% - Accent5 39" xfId="1324"/>
    <cellStyle name="20% - Accent5 4" xfId="570"/>
    <cellStyle name="20% - Accent5 40" xfId="1341"/>
    <cellStyle name="20% - Accent5 41" xfId="1359"/>
    <cellStyle name="20% - Accent5 42" xfId="1562"/>
    <cellStyle name="20% - Accent5 43" xfId="1410"/>
    <cellStyle name="20% - Accent5 44" xfId="1194"/>
    <cellStyle name="20% - Accent5 45" xfId="763"/>
    <cellStyle name="20% - Accent5 46" xfId="535"/>
    <cellStyle name="20% - Accent5 47" xfId="1472"/>
    <cellStyle name="20% - Accent5 48" xfId="1563"/>
    <cellStyle name="20% - Accent5 49" xfId="1528"/>
    <cellStyle name="20% - Accent5 5" xfId="767"/>
    <cellStyle name="20% - Accent5 50" xfId="1379"/>
    <cellStyle name="20% - Accent5 51" xfId="1417"/>
    <cellStyle name="20% - Accent5 52" xfId="1352"/>
    <cellStyle name="20% - Accent5 53" xfId="811"/>
    <cellStyle name="20% - Accent5 54" xfId="829"/>
    <cellStyle name="20% - Accent5 55" xfId="1586"/>
    <cellStyle name="20% - Accent5 56" xfId="1606"/>
    <cellStyle name="20% - Accent5 57" xfId="1622"/>
    <cellStyle name="20% - Accent5 58" xfId="1638"/>
    <cellStyle name="20% - Accent5 59" xfId="1654"/>
    <cellStyle name="20% - Accent5 6" xfId="879"/>
    <cellStyle name="20% - Accent5 60" xfId="1670"/>
    <cellStyle name="20% - Accent5 61" xfId="1686"/>
    <cellStyle name="20% - Accent5 62" xfId="1702"/>
    <cellStyle name="20% - Accent5 63" xfId="1717"/>
    <cellStyle name="20% - Accent5 64" xfId="1732"/>
    <cellStyle name="20% - Accent5 65" xfId="1747"/>
    <cellStyle name="20% - Accent5 66" xfId="1762"/>
    <cellStyle name="20% - Accent5 67" xfId="1777"/>
    <cellStyle name="20% - Accent5 68" xfId="1792"/>
    <cellStyle name="20% - Accent5 69" xfId="1807"/>
    <cellStyle name="20% - Accent5 7" xfId="667"/>
    <cellStyle name="20% - Accent5 70" xfId="1822"/>
    <cellStyle name="20% - Accent5 71" xfId="1837"/>
    <cellStyle name="20% - Accent5 72" xfId="1852"/>
    <cellStyle name="20% - Accent5 73" xfId="1867"/>
    <cellStyle name="20% - Accent5 74" xfId="1882"/>
    <cellStyle name="20% - Accent5 75" xfId="1895"/>
    <cellStyle name="20% - Accent5 76" xfId="1908"/>
    <cellStyle name="20% - Accent5 77" xfId="1921"/>
    <cellStyle name="20% - Accent5 78" xfId="1934"/>
    <cellStyle name="20% - Accent5 79" xfId="1946"/>
    <cellStyle name="20% - Accent5 8" xfId="610"/>
    <cellStyle name="20% - Accent5 80" xfId="1958"/>
    <cellStyle name="20% - Accent5 81" xfId="1970"/>
    <cellStyle name="20% - Accent5 82" xfId="1982"/>
    <cellStyle name="20% - Accent5 83" xfId="1994"/>
    <cellStyle name="20% - Accent5 84" xfId="2006"/>
    <cellStyle name="20% - Accent5 85" xfId="2018"/>
    <cellStyle name="20% - Accent5 86" xfId="2030"/>
    <cellStyle name="20% - Accent5 87" xfId="2042"/>
    <cellStyle name="20% - Accent5 88" xfId="2054"/>
    <cellStyle name="20% - Accent5 89" xfId="2066"/>
    <cellStyle name="20% - Accent5 9" xfId="611"/>
    <cellStyle name="20% - Accent5 90" xfId="2078"/>
    <cellStyle name="20% - Accent6" xfId="39" builtinId="50" customBuiltin="1"/>
    <cellStyle name="20% - Accent6 10" xfId="786"/>
    <cellStyle name="20% - Accent6 11" xfId="550"/>
    <cellStyle name="20% - Accent6 12" xfId="647"/>
    <cellStyle name="20% - Accent6 13" xfId="651"/>
    <cellStyle name="20% - Accent6 14" xfId="888"/>
    <cellStyle name="20% - Accent6 15" xfId="918"/>
    <cellStyle name="20% - Accent6 16" xfId="937"/>
    <cellStyle name="20% - Accent6 17" xfId="955"/>
    <cellStyle name="20% - Accent6 18" xfId="974"/>
    <cellStyle name="20% - Accent6 19" xfId="993"/>
    <cellStyle name="20% - Accent6 2" xfId="526"/>
    <cellStyle name="20% - Accent6 20" xfId="714"/>
    <cellStyle name="20% - Accent6 21" xfId="743"/>
    <cellStyle name="20% - Accent6 22" xfId="1115"/>
    <cellStyle name="20% - Accent6 23" xfId="653"/>
    <cellStyle name="20% - Accent6 24" xfId="541"/>
    <cellStyle name="20% - Accent6 25" xfId="639"/>
    <cellStyle name="20% - Accent6 26" xfId="1217"/>
    <cellStyle name="20% - Accent6 27" xfId="518"/>
    <cellStyle name="20% - Accent6 28" xfId="832"/>
    <cellStyle name="20% - Accent6 29" xfId="724"/>
    <cellStyle name="20% - Accent6 3" xfId="878"/>
    <cellStyle name="20% - Accent6 30" xfId="1139"/>
    <cellStyle name="20% - Accent6 31" xfId="499"/>
    <cellStyle name="20% - Accent6 32" xfId="1100"/>
    <cellStyle name="20% - Accent6 33" xfId="1237"/>
    <cellStyle name="20% - Accent6 34" xfId="1252"/>
    <cellStyle name="20% - Accent6 35" xfId="1269"/>
    <cellStyle name="20% - Accent6 36" xfId="1288"/>
    <cellStyle name="20% - Accent6 37" xfId="1306"/>
    <cellStyle name="20% - Accent6 38" xfId="1325"/>
    <cellStyle name="20% - Accent6 39" xfId="1342"/>
    <cellStyle name="20% - Accent6 4" xfId="687"/>
    <cellStyle name="20% - Accent6 40" xfId="1360"/>
    <cellStyle name="20% - Accent6 41" xfId="1376"/>
    <cellStyle name="20% - Accent6 42" xfId="1146"/>
    <cellStyle name="20% - Accent6 43" xfId="565"/>
    <cellStyle name="20% - Accent6 44" xfId="1113"/>
    <cellStyle name="20% - Accent6 45" xfId="1272"/>
    <cellStyle name="20% - Accent6 46" xfId="557"/>
    <cellStyle name="20% - Accent6 47" xfId="798"/>
    <cellStyle name="20% - Accent6 48" xfId="813"/>
    <cellStyle name="20% - Accent6 49" xfId="977"/>
    <cellStyle name="20% - Accent6 5" xfId="848"/>
    <cellStyle name="20% - Accent6 50" xfId="1517"/>
    <cellStyle name="20% - Accent6 51" xfId="981"/>
    <cellStyle name="20% - Accent6 52" xfId="733"/>
    <cellStyle name="20% - Accent6 53" xfId="1481"/>
    <cellStyle name="20% - Accent6 54" xfId="1587"/>
    <cellStyle name="20% - Accent6 55" xfId="1607"/>
    <cellStyle name="20% - Accent6 56" xfId="1623"/>
    <cellStyle name="20% - Accent6 57" xfId="1639"/>
    <cellStyle name="20% - Accent6 58" xfId="1655"/>
    <cellStyle name="20% - Accent6 59" xfId="1671"/>
    <cellStyle name="20% - Accent6 6" xfId="788"/>
    <cellStyle name="20% - Accent6 60" xfId="1687"/>
    <cellStyle name="20% - Accent6 61" xfId="1703"/>
    <cellStyle name="20% - Accent6 62" xfId="1718"/>
    <cellStyle name="20% - Accent6 63" xfId="1733"/>
    <cellStyle name="20% - Accent6 64" xfId="1748"/>
    <cellStyle name="20% - Accent6 65" xfId="1763"/>
    <cellStyle name="20% - Accent6 66" xfId="1778"/>
    <cellStyle name="20% - Accent6 67" xfId="1793"/>
    <cellStyle name="20% - Accent6 68" xfId="1808"/>
    <cellStyle name="20% - Accent6 69" xfId="1823"/>
    <cellStyle name="20% - Accent6 7" xfId="711"/>
    <cellStyle name="20% - Accent6 70" xfId="1838"/>
    <cellStyle name="20% - Accent6 71" xfId="1853"/>
    <cellStyle name="20% - Accent6 72" xfId="1868"/>
    <cellStyle name="20% - Accent6 73" xfId="1883"/>
    <cellStyle name="20% - Accent6 74" xfId="1896"/>
    <cellStyle name="20% - Accent6 75" xfId="1909"/>
    <cellStyle name="20% - Accent6 76" xfId="1922"/>
    <cellStyle name="20% - Accent6 77" xfId="1935"/>
    <cellStyle name="20% - Accent6 78" xfId="1947"/>
    <cellStyle name="20% - Accent6 79" xfId="1959"/>
    <cellStyle name="20% - Accent6 8" xfId="882"/>
    <cellStyle name="20% - Accent6 80" xfId="1971"/>
    <cellStyle name="20% - Accent6 81" xfId="1983"/>
    <cellStyle name="20% - Accent6 82" xfId="1995"/>
    <cellStyle name="20% - Accent6 83" xfId="2007"/>
    <cellStyle name="20% - Accent6 84" xfId="2019"/>
    <cellStyle name="20% - Accent6 85" xfId="2031"/>
    <cellStyle name="20% - Accent6 86" xfId="2043"/>
    <cellStyle name="20% - Accent6 87" xfId="2055"/>
    <cellStyle name="20% - Accent6 88" xfId="2067"/>
    <cellStyle name="20% - Accent6 89" xfId="2079"/>
    <cellStyle name="20% - Accent6 9" xfId="633"/>
    <cellStyle name="20% - Accent6 90" xfId="2090"/>
    <cellStyle name="40% - Accent1" xfId="20" builtinId="31" customBuiltin="1"/>
    <cellStyle name="40% - Accent1 10" xfId="1058"/>
    <cellStyle name="40% - Accent1 11" xfId="1076"/>
    <cellStyle name="40% - Accent1 12" xfId="1094"/>
    <cellStyle name="40% - Accent1 13" xfId="1110"/>
    <cellStyle name="40% - Accent1 14" xfId="1127"/>
    <cellStyle name="40% - Accent1 15" xfId="1144"/>
    <cellStyle name="40% - Accent1 16" xfId="1163"/>
    <cellStyle name="40% - Accent1 17" xfId="1180"/>
    <cellStyle name="40% - Accent1 18" xfId="1197"/>
    <cellStyle name="40% - Accent1 19" xfId="1211"/>
    <cellStyle name="40% - Accent1 2" xfId="510"/>
    <cellStyle name="40% - Accent1 20" xfId="1135"/>
    <cellStyle name="40% - Accent1 21" xfId="1248"/>
    <cellStyle name="40% - Accent1 22" xfId="1264"/>
    <cellStyle name="40% - Accent1 23" xfId="1283"/>
    <cellStyle name="40% - Accent1 24" xfId="1301"/>
    <cellStyle name="40% - Accent1 25" xfId="1320"/>
    <cellStyle name="40% - Accent1 26" xfId="1338"/>
    <cellStyle name="40% - Accent1 27" xfId="1355"/>
    <cellStyle name="40% - Accent1 28" xfId="1373"/>
    <cellStyle name="40% - Accent1 29" xfId="1389"/>
    <cellStyle name="40% - Accent1 3" xfId="932"/>
    <cellStyle name="40% - Accent1 30" xfId="1406"/>
    <cellStyle name="40% - Accent1 31" xfId="1424"/>
    <cellStyle name="40% - Accent1 32" xfId="1442"/>
    <cellStyle name="40% - Accent1 33" xfId="1459"/>
    <cellStyle name="40% - Accent1 34" xfId="1477"/>
    <cellStyle name="40% - Accent1 35" xfId="1493"/>
    <cellStyle name="40% - Accent1 36" xfId="1507"/>
    <cellStyle name="40% - Accent1 37" xfId="1522"/>
    <cellStyle name="40% - Accent1 38" xfId="1537"/>
    <cellStyle name="40% - Accent1 39" xfId="1553"/>
    <cellStyle name="40% - Accent1 4" xfId="951"/>
    <cellStyle name="40% - Accent1 40" xfId="1568"/>
    <cellStyle name="40% - Accent1 41" xfId="1584"/>
    <cellStyle name="40% - Accent1 42" xfId="1361"/>
    <cellStyle name="40% - Accent1 43" xfId="1618"/>
    <cellStyle name="40% - Accent1 44" xfId="1634"/>
    <cellStyle name="40% - Accent1 45" xfId="1650"/>
    <cellStyle name="40% - Accent1 46" xfId="1666"/>
    <cellStyle name="40% - Accent1 47" xfId="1682"/>
    <cellStyle name="40% - Accent1 48" xfId="1698"/>
    <cellStyle name="40% - Accent1 49" xfId="1714"/>
    <cellStyle name="40% - Accent1 5" xfId="969"/>
    <cellStyle name="40% - Accent1 50" xfId="1729"/>
    <cellStyle name="40% - Accent1 51" xfId="1744"/>
    <cellStyle name="40% - Accent1 52" xfId="1759"/>
    <cellStyle name="40% - Accent1 53" xfId="1774"/>
    <cellStyle name="40% - Accent1 54" xfId="1789"/>
    <cellStyle name="40% - Accent1 55" xfId="1804"/>
    <cellStyle name="40% - Accent1 56" xfId="1819"/>
    <cellStyle name="40% - Accent1 57" xfId="1834"/>
    <cellStyle name="40% - Accent1 58" xfId="1849"/>
    <cellStyle name="40% - Accent1 59" xfId="1864"/>
    <cellStyle name="40% - Accent1 6" xfId="988"/>
    <cellStyle name="40% - Accent1 60" xfId="1879"/>
    <cellStyle name="40% - Accent1 61" xfId="1892"/>
    <cellStyle name="40% - Accent1 62" xfId="1905"/>
    <cellStyle name="40% - Accent1 63" xfId="1918"/>
    <cellStyle name="40% - Accent1 64" xfId="1931"/>
    <cellStyle name="40% - Accent1 65" xfId="1943"/>
    <cellStyle name="40% - Accent1 66" xfId="1955"/>
    <cellStyle name="40% - Accent1 67" xfId="1967"/>
    <cellStyle name="40% - Accent1 68" xfId="1979"/>
    <cellStyle name="40% - Accent1 69" xfId="1991"/>
    <cellStyle name="40% - Accent1 7" xfId="1005"/>
    <cellStyle name="40% - Accent1 70" xfId="2003"/>
    <cellStyle name="40% - Accent1 71" xfId="2015"/>
    <cellStyle name="40% - Accent1 72" xfId="2027"/>
    <cellStyle name="40% - Accent1 73" xfId="2039"/>
    <cellStyle name="40% - Accent1 74" xfId="2051"/>
    <cellStyle name="40% - Accent1 75" xfId="2063"/>
    <cellStyle name="40% - Accent1 76" xfId="2075"/>
    <cellStyle name="40% - Accent1 77" xfId="2087"/>
    <cellStyle name="40% - Accent1 78" xfId="2098"/>
    <cellStyle name="40% - Accent1 79" xfId="2108"/>
    <cellStyle name="40% - Accent1 8" xfId="1023"/>
    <cellStyle name="40% - Accent1 80" xfId="2118"/>
    <cellStyle name="40% - Accent1 81" xfId="2126"/>
    <cellStyle name="40% - Accent1 82" xfId="2133"/>
    <cellStyle name="40% - Accent1 83" xfId="2140"/>
    <cellStyle name="40% - Accent1 84" xfId="2147"/>
    <cellStyle name="40% - Accent1 85" xfId="2154"/>
    <cellStyle name="40% - Accent1 86" xfId="2161"/>
    <cellStyle name="40% - Accent1 87" xfId="2166"/>
    <cellStyle name="40% - Accent1 88" xfId="2171"/>
    <cellStyle name="40% - Accent1 89" xfId="2176"/>
    <cellStyle name="40% - Accent1 9" xfId="1040"/>
    <cellStyle name="40% - Accent1 90" xfId="2181"/>
    <cellStyle name="40% - Accent2" xfId="24" builtinId="35" customBuiltin="1"/>
    <cellStyle name="40% - Accent2 10" xfId="1056"/>
    <cellStyle name="40% - Accent2 11" xfId="1074"/>
    <cellStyle name="40% - Accent2 12" xfId="1092"/>
    <cellStyle name="40% - Accent2 13" xfId="1108"/>
    <cellStyle name="40% - Accent2 14" xfId="1125"/>
    <cellStyle name="40% - Accent2 15" xfId="1142"/>
    <cellStyle name="40% - Accent2 16" xfId="1161"/>
    <cellStyle name="40% - Accent2 17" xfId="1178"/>
    <cellStyle name="40% - Accent2 18" xfId="1195"/>
    <cellStyle name="40% - Accent2 19" xfId="1209"/>
    <cellStyle name="40% - Accent2 2" xfId="513"/>
    <cellStyle name="40% - Accent2 20" xfId="871"/>
    <cellStyle name="40% - Accent2 21" xfId="1246"/>
    <cellStyle name="40% - Accent2 22" xfId="1262"/>
    <cellStyle name="40% - Accent2 23" xfId="1281"/>
    <cellStyle name="40% - Accent2 24" xfId="1299"/>
    <cellStyle name="40% - Accent2 25" xfId="1318"/>
    <cellStyle name="40% - Accent2 26" xfId="1336"/>
    <cellStyle name="40% - Accent2 27" xfId="1353"/>
    <cellStyle name="40% - Accent2 28" xfId="1371"/>
    <cellStyle name="40% - Accent2 29" xfId="1387"/>
    <cellStyle name="40% - Accent2 3" xfId="930"/>
    <cellStyle name="40% - Accent2 30" xfId="1404"/>
    <cellStyle name="40% - Accent2 31" xfId="1422"/>
    <cellStyle name="40% - Accent2 32" xfId="1440"/>
    <cellStyle name="40% - Accent2 33" xfId="1457"/>
    <cellStyle name="40% - Accent2 34" xfId="1475"/>
    <cellStyle name="40% - Accent2 35" xfId="1491"/>
    <cellStyle name="40% - Accent2 36" xfId="1505"/>
    <cellStyle name="40% - Accent2 37" xfId="1520"/>
    <cellStyle name="40% - Accent2 38" xfId="1535"/>
    <cellStyle name="40% - Accent2 39" xfId="1551"/>
    <cellStyle name="40% - Accent2 4" xfId="949"/>
    <cellStyle name="40% - Accent2 40" xfId="1566"/>
    <cellStyle name="40% - Accent2 41" xfId="1582"/>
    <cellStyle name="40% - Accent2 42" xfId="652"/>
    <cellStyle name="40% - Accent2 43" xfId="1616"/>
    <cellStyle name="40% - Accent2 44" xfId="1632"/>
    <cellStyle name="40% - Accent2 45" xfId="1648"/>
    <cellStyle name="40% - Accent2 46" xfId="1664"/>
    <cellStyle name="40% - Accent2 47" xfId="1680"/>
    <cellStyle name="40% - Accent2 48" xfId="1696"/>
    <cellStyle name="40% - Accent2 49" xfId="1712"/>
    <cellStyle name="40% - Accent2 5" xfId="967"/>
    <cellStyle name="40% - Accent2 50" xfId="1727"/>
    <cellStyle name="40% - Accent2 51" xfId="1742"/>
    <cellStyle name="40% - Accent2 52" xfId="1757"/>
    <cellStyle name="40% - Accent2 53" xfId="1772"/>
    <cellStyle name="40% - Accent2 54" xfId="1787"/>
    <cellStyle name="40% - Accent2 55" xfId="1802"/>
    <cellStyle name="40% - Accent2 56" xfId="1817"/>
    <cellStyle name="40% - Accent2 57" xfId="1832"/>
    <cellStyle name="40% - Accent2 58" xfId="1847"/>
    <cellStyle name="40% - Accent2 59" xfId="1862"/>
    <cellStyle name="40% - Accent2 6" xfId="986"/>
    <cellStyle name="40% - Accent2 60" xfId="1877"/>
    <cellStyle name="40% - Accent2 61" xfId="1890"/>
    <cellStyle name="40% - Accent2 62" xfId="1903"/>
    <cellStyle name="40% - Accent2 63" xfId="1916"/>
    <cellStyle name="40% - Accent2 64" xfId="1929"/>
    <cellStyle name="40% - Accent2 65" xfId="1941"/>
    <cellStyle name="40% - Accent2 66" xfId="1953"/>
    <cellStyle name="40% - Accent2 67" xfId="1965"/>
    <cellStyle name="40% - Accent2 68" xfId="1977"/>
    <cellStyle name="40% - Accent2 69" xfId="1989"/>
    <cellStyle name="40% - Accent2 7" xfId="1003"/>
    <cellStyle name="40% - Accent2 70" xfId="2001"/>
    <cellStyle name="40% - Accent2 71" xfId="2013"/>
    <cellStyle name="40% - Accent2 72" xfId="2025"/>
    <cellStyle name="40% - Accent2 73" xfId="2037"/>
    <cellStyle name="40% - Accent2 74" xfId="2049"/>
    <cellStyle name="40% - Accent2 75" xfId="2061"/>
    <cellStyle name="40% - Accent2 76" xfId="2073"/>
    <cellStyle name="40% - Accent2 77" xfId="2085"/>
    <cellStyle name="40% - Accent2 78" xfId="2096"/>
    <cellStyle name="40% - Accent2 79" xfId="2106"/>
    <cellStyle name="40% - Accent2 8" xfId="1021"/>
    <cellStyle name="40% - Accent2 80" xfId="2116"/>
    <cellStyle name="40% - Accent2 81" xfId="2124"/>
    <cellStyle name="40% - Accent2 82" xfId="2131"/>
    <cellStyle name="40% - Accent2 83" xfId="2138"/>
    <cellStyle name="40% - Accent2 84" xfId="2145"/>
    <cellStyle name="40% - Accent2 85" xfId="2152"/>
    <cellStyle name="40% - Accent2 86" xfId="2159"/>
    <cellStyle name="40% - Accent2 87" xfId="2164"/>
    <cellStyle name="40% - Accent2 88" xfId="2169"/>
    <cellStyle name="40% - Accent2 89" xfId="2174"/>
    <cellStyle name="40% - Accent2 9" xfId="1038"/>
    <cellStyle name="40% - Accent2 90" xfId="2179"/>
    <cellStyle name="40% - Accent3" xfId="28" builtinId="39" customBuiltin="1"/>
    <cellStyle name="40% - Accent3 10" xfId="806"/>
    <cellStyle name="40% - Accent3 11" xfId="601"/>
    <cellStyle name="40% - Accent3 12" xfId="583"/>
    <cellStyle name="40% - Accent3 13" xfId="688"/>
    <cellStyle name="40% - Accent3 14" xfId="804"/>
    <cellStyle name="40% - Accent3 15" xfId="618"/>
    <cellStyle name="40% - Accent3 16" xfId="690"/>
    <cellStyle name="40% - Accent3 17" xfId="849"/>
    <cellStyle name="40% - Accent3 18" xfId="864"/>
    <cellStyle name="40% - Accent3 19" xfId="735"/>
    <cellStyle name="40% - Accent3 2" xfId="516"/>
    <cellStyle name="40% - Accent3 20" xfId="521"/>
    <cellStyle name="40% - Accent3 21" xfId="912"/>
    <cellStyle name="40% - Accent3 22" xfId="632"/>
    <cellStyle name="40% - Accent3 23" xfId="658"/>
    <cellStyle name="40% - Accent3 24" xfId="608"/>
    <cellStyle name="40% - Accent3 25" xfId="567"/>
    <cellStyle name="40% - Accent3 26" xfId="1072"/>
    <cellStyle name="40% - Accent3 27" xfId="793"/>
    <cellStyle name="40% - Accent3 28" xfId="822"/>
    <cellStyle name="40% - Accent3 29" xfId="1150"/>
    <cellStyle name="40% - Accent3 3" xfId="594"/>
    <cellStyle name="40% - Accent3 30" xfId="746"/>
    <cellStyle name="40% - Accent3 31" xfId="576"/>
    <cellStyle name="40% - Accent3 32" xfId="655"/>
    <cellStyle name="40% - Accent3 33" xfId="894"/>
    <cellStyle name="40% - Accent3 34" xfId="635"/>
    <cellStyle name="40% - Accent3 35" xfId="650"/>
    <cellStyle name="40% - Accent3 36" xfId="826"/>
    <cellStyle name="40% - Accent3 37" xfId="718"/>
    <cellStyle name="40% - Accent3 38" xfId="559"/>
    <cellStyle name="40% - Accent3 39" xfId="1214"/>
    <cellStyle name="40% - Accent3 4" xfId="625"/>
    <cellStyle name="40% - Accent3 40" xfId="1148"/>
    <cellStyle name="40% - Accent3 41" xfId="691"/>
    <cellStyle name="40% - Accent3 42" xfId="1382"/>
    <cellStyle name="40% - Accent3 43" xfId="753"/>
    <cellStyle name="40% - Accent3 44" xfId="749"/>
    <cellStyle name="40% - Accent3 45" xfId="1280"/>
    <cellStyle name="40% - Accent3 46" xfId="1449"/>
    <cellStyle name="40% - Accent3 47" xfId="1386"/>
    <cellStyle name="40% - Accent3 48" xfId="929"/>
    <cellStyle name="40% - Accent3 49" xfId="1540"/>
    <cellStyle name="40% - Accent3 5" xfId="838"/>
    <cellStyle name="40% - Accent3 50" xfId="1500"/>
    <cellStyle name="40% - Accent3 51" xfId="1533"/>
    <cellStyle name="40% - Accent3 52" xfId="579"/>
    <cellStyle name="40% - Accent3 53" xfId="818"/>
    <cellStyle name="40% - Accent3 54" xfId="1219"/>
    <cellStyle name="40% - Accent3 55" xfId="1398"/>
    <cellStyle name="40% - Accent3 56" xfId="756"/>
    <cellStyle name="40% - Accent3 57" xfId="1347"/>
    <cellStyle name="40% - Accent3 58" xfId="1232"/>
    <cellStyle name="40% - Accent3 59" xfId="1050"/>
    <cellStyle name="40% - Accent3 6" xfId="637"/>
    <cellStyle name="40% - Accent3 60" xfId="1550"/>
    <cellStyle name="40% - Accent3 61" xfId="1590"/>
    <cellStyle name="40% - Accent3 62" xfId="1230"/>
    <cellStyle name="40% - Accent3 63" xfId="1328"/>
    <cellStyle name="40% - Accent3 64" xfId="1261"/>
    <cellStyle name="40% - Accent3 65" xfId="1446"/>
    <cellStyle name="40% - Accent3 66" xfId="1452"/>
    <cellStyle name="40% - Accent3 67" xfId="770"/>
    <cellStyle name="40% - Accent3 68" xfId="1534"/>
    <cellStyle name="40% - Accent3 69" xfId="1313"/>
    <cellStyle name="40% - Accent3 7" xfId="719"/>
    <cellStyle name="40% - Accent3 70" xfId="1086"/>
    <cellStyle name="40% - Accent3 71" xfId="1543"/>
    <cellStyle name="40% - Accent3 72" xfId="1594"/>
    <cellStyle name="40% - Accent3 73" xfId="1612"/>
    <cellStyle name="40% - Accent3 74" xfId="1628"/>
    <cellStyle name="40% - Accent3 75" xfId="1644"/>
    <cellStyle name="40% - Accent3 76" xfId="1660"/>
    <cellStyle name="40% - Accent3 77" xfId="1676"/>
    <cellStyle name="40% - Accent3 78" xfId="1692"/>
    <cellStyle name="40% - Accent3 79" xfId="1708"/>
    <cellStyle name="40% - Accent3 8" xfId="859"/>
    <cellStyle name="40% - Accent3 80" xfId="1723"/>
    <cellStyle name="40% - Accent3 81" xfId="1738"/>
    <cellStyle name="40% - Accent3 82" xfId="1753"/>
    <cellStyle name="40% - Accent3 83" xfId="1768"/>
    <cellStyle name="40% - Accent3 84" xfId="1783"/>
    <cellStyle name="40% - Accent3 85" xfId="1798"/>
    <cellStyle name="40% - Accent3 86" xfId="1813"/>
    <cellStyle name="40% - Accent3 87" xfId="1828"/>
    <cellStyle name="40% - Accent3 88" xfId="1843"/>
    <cellStyle name="40% - Accent3 89" xfId="1858"/>
    <cellStyle name="40% - Accent3 9" xfId="778"/>
    <cellStyle name="40% - Accent3 90" xfId="1873"/>
    <cellStyle name="40% - Accent4" xfId="32" builtinId="43" customBuiltin="1"/>
    <cellStyle name="40% - Accent4 10" xfId="903"/>
    <cellStyle name="40% - Accent4 11" xfId="506"/>
    <cellStyle name="40% - Accent4 12" xfId="923"/>
    <cellStyle name="40% - Accent4 13" xfId="942"/>
    <cellStyle name="40% - Accent4 14" xfId="960"/>
    <cellStyle name="40% - Accent4 15" xfId="979"/>
    <cellStyle name="40% - Accent4 16" xfId="998"/>
    <cellStyle name="40% - Accent4 17" xfId="1014"/>
    <cellStyle name="40% - Accent4 18" xfId="1032"/>
    <cellStyle name="40% - Accent4 19" xfId="1049"/>
    <cellStyle name="40% - Accent4 2" xfId="520"/>
    <cellStyle name="40% - Accent4 20" xfId="1190"/>
    <cellStyle name="40% - Accent4 21" xfId="898"/>
    <cellStyle name="40% - Accent4 22" xfId="1121"/>
    <cellStyle name="40% - Accent4 23" xfId="1176"/>
    <cellStyle name="40% - Accent4 24" xfId="860"/>
    <cellStyle name="40% - Accent4 25" xfId="913"/>
    <cellStyle name="40% - Accent4 26" xfId="1174"/>
    <cellStyle name="40% - Accent4 27" xfId="664"/>
    <cellStyle name="40% - Accent4 28" xfId="1073"/>
    <cellStyle name="40% - Accent4 29" xfId="1226"/>
    <cellStyle name="40% - Accent4 3" xfId="586"/>
    <cellStyle name="40% - Accent4 30" xfId="1241"/>
    <cellStyle name="40% - Accent4 31" xfId="1257"/>
    <cellStyle name="40% - Accent4 32" xfId="1274"/>
    <cellStyle name="40% - Accent4 33" xfId="1292"/>
    <cellStyle name="40% - Accent4 34" xfId="1311"/>
    <cellStyle name="40% - Accent4 35" xfId="1330"/>
    <cellStyle name="40% - Accent4 36" xfId="1346"/>
    <cellStyle name="40% - Accent4 37" xfId="1365"/>
    <cellStyle name="40% - Accent4 38" xfId="1381"/>
    <cellStyle name="40% - Accent4 39" xfId="1397"/>
    <cellStyle name="40% - Accent4 4" xfId="661"/>
    <cellStyle name="40% - Accent4 40" xfId="1416"/>
    <cellStyle name="40% - Accent4 41" xfId="1434"/>
    <cellStyle name="40% - Accent4 42" xfId="1474"/>
    <cellStyle name="40% - Accent4 43" xfId="747"/>
    <cellStyle name="40% - Accent4 44" xfId="1061"/>
    <cellStyle name="40% - Accent4 45" xfId="1363"/>
    <cellStyle name="40% - Accent4 46" xfId="1255"/>
    <cellStyle name="40% - Accent4 47" xfId="1411"/>
    <cellStyle name="40% - Accent4 48" xfId="1090"/>
    <cellStyle name="40% - Accent4 49" xfId="1068"/>
    <cellStyle name="40% - Accent4 5" xfId="808"/>
    <cellStyle name="40% - Accent4 50" xfId="1579"/>
    <cellStyle name="40% - Accent4 51" xfId="1592"/>
    <cellStyle name="40% - Accent4 52" xfId="1611"/>
    <cellStyle name="40% - Accent4 53" xfId="1627"/>
    <cellStyle name="40% - Accent4 54" xfId="1643"/>
    <cellStyle name="40% - Accent4 55" xfId="1659"/>
    <cellStyle name="40% - Accent4 56" xfId="1675"/>
    <cellStyle name="40% - Accent4 57" xfId="1691"/>
    <cellStyle name="40% - Accent4 58" xfId="1707"/>
    <cellStyle name="40% - Accent4 59" xfId="1722"/>
    <cellStyle name="40% - Accent4 6" xfId="617"/>
    <cellStyle name="40% - Accent4 60" xfId="1737"/>
    <cellStyle name="40% - Accent4 61" xfId="1752"/>
    <cellStyle name="40% - Accent4 62" xfId="1767"/>
    <cellStyle name="40% - Accent4 63" xfId="1782"/>
    <cellStyle name="40% - Accent4 64" xfId="1797"/>
    <cellStyle name="40% - Accent4 65" xfId="1812"/>
    <cellStyle name="40% - Accent4 66" xfId="1827"/>
    <cellStyle name="40% - Accent4 67" xfId="1842"/>
    <cellStyle name="40% - Accent4 68" xfId="1857"/>
    <cellStyle name="40% - Accent4 69" xfId="1872"/>
    <cellStyle name="40% - Accent4 7" xfId="876"/>
    <cellStyle name="40% - Accent4 70" xfId="1887"/>
    <cellStyle name="40% - Accent4 71" xfId="1900"/>
    <cellStyle name="40% - Accent4 72" xfId="1913"/>
    <cellStyle name="40% - Accent4 73" xfId="1926"/>
    <cellStyle name="40% - Accent4 74" xfId="1938"/>
    <cellStyle name="40% - Accent4 75" xfId="1950"/>
    <cellStyle name="40% - Accent4 76" xfId="1962"/>
    <cellStyle name="40% - Accent4 77" xfId="1974"/>
    <cellStyle name="40% - Accent4 78" xfId="1986"/>
    <cellStyle name="40% - Accent4 79" xfId="1998"/>
    <cellStyle name="40% - Accent4 8" xfId="700"/>
    <cellStyle name="40% - Accent4 80" xfId="2010"/>
    <cellStyle name="40% - Accent4 81" xfId="2022"/>
    <cellStyle name="40% - Accent4 82" xfId="2034"/>
    <cellStyle name="40% - Accent4 83" xfId="2046"/>
    <cellStyle name="40% - Accent4 84" xfId="2058"/>
    <cellStyle name="40% - Accent4 85" xfId="2070"/>
    <cellStyle name="40% - Accent4 86" xfId="2082"/>
    <cellStyle name="40% - Accent4 87" xfId="2093"/>
    <cellStyle name="40% - Accent4 88" xfId="2103"/>
    <cellStyle name="40% - Accent4 89" xfId="2113"/>
    <cellStyle name="40% - Accent4 9" xfId="708"/>
    <cellStyle name="40% - Accent4 90" xfId="2123"/>
    <cellStyle name="40% - Accent5" xfId="36" builtinId="47" customBuiltin="1"/>
    <cellStyle name="40% - Accent5 10" xfId="978"/>
    <cellStyle name="40% - Accent5 11" xfId="997"/>
    <cellStyle name="40% - Accent5 12" xfId="1013"/>
    <cellStyle name="40% - Accent5 13" xfId="1031"/>
    <cellStyle name="40% - Accent5 14" xfId="1048"/>
    <cellStyle name="40% - Accent5 15" xfId="1066"/>
    <cellStyle name="40% - Accent5 16" xfId="1085"/>
    <cellStyle name="40% - Accent5 17" xfId="1101"/>
    <cellStyle name="40% - Accent5 18" xfId="1118"/>
    <cellStyle name="40% - Accent5 19" xfId="1136"/>
    <cellStyle name="40% - Accent5 2" xfId="524"/>
    <cellStyle name="40% - Accent5 20" xfId="802"/>
    <cellStyle name="40% - Accent5 21" xfId="800"/>
    <cellStyle name="40% - Accent5 22" xfId="626"/>
    <cellStyle name="40% - Accent5 23" xfId="938"/>
    <cellStyle name="40% - Accent5 24" xfId="975"/>
    <cellStyle name="40% - Accent5 25" xfId="1240"/>
    <cellStyle name="40% - Accent5 26" xfId="1256"/>
    <cellStyle name="40% - Accent5 27" xfId="1273"/>
    <cellStyle name="40% - Accent5 28" xfId="1291"/>
    <cellStyle name="40% - Accent5 29" xfId="1310"/>
    <cellStyle name="40% - Accent5 3" xfId="901"/>
    <cellStyle name="40% - Accent5 30" xfId="1329"/>
    <cellStyle name="40% - Accent5 31" xfId="1345"/>
    <cellStyle name="40% - Accent5 32" xfId="1364"/>
    <cellStyle name="40% - Accent5 33" xfId="1380"/>
    <cellStyle name="40% - Accent5 34" xfId="1396"/>
    <cellStyle name="40% - Accent5 35" xfId="1415"/>
    <cellStyle name="40% - Accent5 36" xfId="1433"/>
    <cellStyle name="40% - Accent5 37" xfId="1450"/>
    <cellStyle name="40% - Accent5 38" xfId="1467"/>
    <cellStyle name="40% - Accent5 39" xfId="1484"/>
    <cellStyle name="40% - Accent5 4" xfId="495"/>
    <cellStyle name="40% - Accent5 40" xfId="1499"/>
    <cellStyle name="40% - Accent5 41" xfId="1514"/>
    <cellStyle name="40% - Accent5 42" xfId="1570"/>
    <cellStyle name="40% - Accent5 43" xfId="1577"/>
    <cellStyle name="40% - Accent5 44" xfId="1171"/>
    <cellStyle name="40% - Accent5 45" xfId="1580"/>
    <cellStyle name="40% - Accent5 46" xfId="1591"/>
    <cellStyle name="40% - Accent5 47" xfId="1610"/>
    <cellStyle name="40% - Accent5 48" xfId="1626"/>
    <cellStyle name="40% - Accent5 49" xfId="1642"/>
    <cellStyle name="40% - Accent5 5" xfId="494"/>
    <cellStyle name="40% - Accent5 50" xfId="1658"/>
    <cellStyle name="40% - Accent5 51" xfId="1674"/>
    <cellStyle name="40% - Accent5 52" xfId="1690"/>
    <cellStyle name="40% - Accent5 53" xfId="1706"/>
    <cellStyle name="40% - Accent5 54" xfId="1721"/>
    <cellStyle name="40% - Accent5 55" xfId="1736"/>
    <cellStyle name="40% - Accent5 56" xfId="1751"/>
    <cellStyle name="40% - Accent5 57" xfId="1766"/>
    <cellStyle name="40% - Accent5 58" xfId="1781"/>
    <cellStyle name="40% - Accent5 59" xfId="1796"/>
    <cellStyle name="40% - Accent5 6" xfId="507"/>
    <cellStyle name="40% - Accent5 60" xfId="1811"/>
    <cellStyle name="40% - Accent5 61" xfId="1826"/>
    <cellStyle name="40% - Accent5 62" xfId="1841"/>
    <cellStyle name="40% - Accent5 63" xfId="1856"/>
    <cellStyle name="40% - Accent5 64" xfId="1871"/>
    <cellStyle name="40% - Accent5 65" xfId="1886"/>
    <cellStyle name="40% - Accent5 66" xfId="1899"/>
    <cellStyle name="40% - Accent5 67" xfId="1912"/>
    <cellStyle name="40% - Accent5 68" xfId="1925"/>
    <cellStyle name="40% - Accent5 69" xfId="1937"/>
    <cellStyle name="40% - Accent5 7" xfId="922"/>
    <cellStyle name="40% - Accent5 70" xfId="1949"/>
    <cellStyle name="40% - Accent5 71" xfId="1961"/>
    <cellStyle name="40% - Accent5 72" xfId="1973"/>
    <cellStyle name="40% - Accent5 73" xfId="1985"/>
    <cellStyle name="40% - Accent5 74" xfId="1997"/>
    <cellStyle name="40% - Accent5 75" xfId="2009"/>
    <cellStyle name="40% - Accent5 76" xfId="2021"/>
    <cellStyle name="40% - Accent5 77" xfId="2033"/>
    <cellStyle name="40% - Accent5 78" xfId="2045"/>
    <cellStyle name="40% - Accent5 79" xfId="2057"/>
    <cellStyle name="40% - Accent5 8" xfId="941"/>
    <cellStyle name="40% - Accent5 80" xfId="2069"/>
    <cellStyle name="40% - Accent5 81" xfId="2081"/>
    <cellStyle name="40% - Accent5 82" xfId="2092"/>
    <cellStyle name="40% - Accent5 83" xfId="2102"/>
    <cellStyle name="40% - Accent5 84" xfId="2112"/>
    <cellStyle name="40% - Accent5 85" xfId="2122"/>
    <cellStyle name="40% - Accent5 86" xfId="2130"/>
    <cellStyle name="40% - Accent5 87" xfId="2137"/>
    <cellStyle name="40% - Accent5 88" xfId="2144"/>
    <cellStyle name="40% - Accent5 89" xfId="2151"/>
    <cellStyle name="40% - Accent5 9" xfId="959"/>
    <cellStyle name="40% - Accent5 90" xfId="2158"/>
    <cellStyle name="40% - Accent6" xfId="40" builtinId="51" customBuiltin="1"/>
    <cellStyle name="40% - Accent6 10" xfId="679"/>
    <cellStyle name="40% - Accent6 11" xfId="905"/>
    <cellStyle name="40% - Accent6 12" xfId="503"/>
    <cellStyle name="40% - Accent6 13" xfId="927"/>
    <cellStyle name="40% - Accent6 14" xfId="946"/>
    <cellStyle name="40% - Accent6 15" xfId="964"/>
    <cellStyle name="40% - Accent6 16" xfId="983"/>
    <cellStyle name="40% - Accent6 17" xfId="1000"/>
    <cellStyle name="40% - Accent6 18" xfId="1018"/>
    <cellStyle name="40% - Accent6 19" xfId="1036"/>
    <cellStyle name="40% - Accent6 2" xfId="527"/>
    <cellStyle name="40% - Accent6 20" xfId="578"/>
    <cellStyle name="40% - Accent6 21" xfId="728"/>
    <cellStyle name="40% - Accent6 22" xfId="1123"/>
    <cellStyle name="40% - Accent6 23" xfId="796"/>
    <cellStyle name="40% - Accent6 24" xfId="623"/>
    <cellStyle name="40% - Accent6 25" xfId="1044"/>
    <cellStyle name="40% - Accent6 26" xfId="824"/>
    <cellStyle name="40% - Accent6 27" xfId="1016"/>
    <cellStyle name="40% - Accent6 28" xfId="547"/>
    <cellStyle name="40% - Accent6 29" xfId="585"/>
    <cellStyle name="40% - Accent6 3" xfId="870"/>
    <cellStyle name="40% - Accent6 30" xfId="1220"/>
    <cellStyle name="40% - Accent6 31" xfId="1244"/>
    <cellStyle name="40% - Accent6 32" xfId="1259"/>
    <cellStyle name="40% - Accent6 33" xfId="1278"/>
    <cellStyle name="40% - Accent6 34" xfId="1296"/>
    <cellStyle name="40% - Accent6 35" xfId="1315"/>
    <cellStyle name="40% - Accent6 36" xfId="1333"/>
    <cellStyle name="40% - Accent6 37" xfId="1350"/>
    <cellStyle name="40% - Accent6 38" xfId="1368"/>
    <cellStyle name="40% - Accent6 39" xfId="1384"/>
    <cellStyle name="40% - Accent6 4" xfId="669"/>
    <cellStyle name="40% - Accent6 40" xfId="1401"/>
    <cellStyle name="40% - Accent6 41" xfId="1419"/>
    <cellStyle name="40% - Accent6 42" xfId="1524"/>
    <cellStyle name="40% - Accent6 43" xfId="1464"/>
    <cellStyle name="40% - Accent6 44" xfId="1414"/>
    <cellStyle name="40% - Accent6 45" xfId="1486"/>
    <cellStyle name="40% - Accent6 46" xfId="916"/>
    <cellStyle name="40% - Accent6 47" xfId="1403"/>
    <cellStyle name="40% - Accent6 48" xfId="1469"/>
    <cellStyle name="40% - Accent6 49" xfId="1468"/>
    <cellStyle name="40% - Accent6 5" xfId="562"/>
    <cellStyle name="40% - Accent6 50" xfId="593"/>
    <cellStyle name="40% - Accent6 51" xfId="1555"/>
    <cellStyle name="40% - Accent6 52" xfId="1595"/>
    <cellStyle name="40% - Accent6 53" xfId="1613"/>
    <cellStyle name="40% - Accent6 54" xfId="1629"/>
    <cellStyle name="40% - Accent6 55" xfId="1645"/>
    <cellStyle name="40% - Accent6 56" xfId="1661"/>
    <cellStyle name="40% - Accent6 57" xfId="1677"/>
    <cellStyle name="40% - Accent6 58" xfId="1693"/>
    <cellStyle name="40% - Accent6 59" xfId="1709"/>
    <cellStyle name="40% - Accent6 6" xfId="851"/>
    <cellStyle name="40% - Accent6 60" xfId="1724"/>
    <cellStyle name="40% - Accent6 61" xfId="1739"/>
    <cellStyle name="40% - Accent6 62" xfId="1754"/>
    <cellStyle name="40% - Accent6 63" xfId="1769"/>
    <cellStyle name="40% - Accent6 64" xfId="1784"/>
    <cellStyle name="40% - Accent6 65" xfId="1799"/>
    <cellStyle name="40% - Accent6 66" xfId="1814"/>
    <cellStyle name="40% - Accent6 67" xfId="1829"/>
    <cellStyle name="40% - Accent6 68" xfId="1844"/>
    <cellStyle name="40% - Accent6 69" xfId="1859"/>
    <cellStyle name="40% - Accent6 7" xfId="765"/>
    <cellStyle name="40% - Accent6 70" xfId="1874"/>
    <cellStyle name="40% - Accent6 71" xfId="1888"/>
    <cellStyle name="40% - Accent6 72" xfId="1901"/>
    <cellStyle name="40% - Accent6 73" xfId="1914"/>
    <cellStyle name="40% - Accent6 74" xfId="1927"/>
    <cellStyle name="40% - Accent6 75" xfId="1939"/>
    <cellStyle name="40% - Accent6 76" xfId="1951"/>
    <cellStyle name="40% - Accent6 77" xfId="1963"/>
    <cellStyle name="40% - Accent6 78" xfId="1975"/>
    <cellStyle name="40% - Accent6 79" xfId="1987"/>
    <cellStyle name="40% - Accent6 8" xfId="603"/>
    <cellStyle name="40% - Accent6 80" xfId="1999"/>
    <cellStyle name="40% - Accent6 81" xfId="2011"/>
    <cellStyle name="40% - Accent6 82" xfId="2023"/>
    <cellStyle name="40% - Accent6 83" xfId="2035"/>
    <cellStyle name="40% - Accent6 84" xfId="2047"/>
    <cellStyle name="40% - Accent6 85" xfId="2059"/>
    <cellStyle name="40% - Accent6 86" xfId="2071"/>
    <cellStyle name="40% - Accent6 87" xfId="2083"/>
    <cellStyle name="40% - Accent6 88" xfId="2094"/>
    <cellStyle name="40% - Accent6 89" xfId="2104"/>
    <cellStyle name="40% - Accent6 9" xfId="584"/>
    <cellStyle name="40% - Accent6 90" xfId="2114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49"/>
    <cellStyle name="Normal 11" xfId="450"/>
    <cellStyle name="Normal 12" xfId="451"/>
    <cellStyle name="Normal 13" xfId="452"/>
    <cellStyle name="Normal 14" xfId="453"/>
    <cellStyle name="Normal 15" xfId="454"/>
    <cellStyle name="Normal 16" xfId="455"/>
    <cellStyle name="Normal 17" xfId="456"/>
    <cellStyle name="Normal 18" xfId="457"/>
    <cellStyle name="Normal 19" xfId="458"/>
    <cellStyle name="Normal 2" xfId="43"/>
    <cellStyle name="Normal 2 10" xfId="890"/>
    <cellStyle name="Normal 2 100" xfId="2228"/>
    <cellStyle name="Normal 2 101" xfId="481"/>
    <cellStyle name="Normal 2 102" xfId="2192"/>
    <cellStyle name="Normal 2 103" xfId="478"/>
    <cellStyle name="Normal 2 104" xfId="2191"/>
    <cellStyle name="Normal 2 11" xfId="915"/>
    <cellStyle name="Normal 2 12" xfId="934"/>
    <cellStyle name="Normal 2 13" xfId="953"/>
    <cellStyle name="Normal 2 14" xfId="971"/>
    <cellStyle name="Normal 2 15" xfId="990"/>
    <cellStyle name="Normal 2 16" xfId="1007"/>
    <cellStyle name="Normal 2 17" xfId="1025"/>
    <cellStyle name="Normal 2 18" xfId="1042"/>
    <cellStyle name="Normal 2 19" xfId="1060"/>
    <cellStyle name="Normal 2 2" xfId="45"/>
    <cellStyle name="Normal 2 2 10" xfId="2205"/>
    <cellStyle name="Normal 2 2 11" xfId="484"/>
    <cellStyle name="Normal 2 2 12" xfId="2219"/>
    <cellStyle name="Normal 2 2 13" xfId="2225"/>
    <cellStyle name="Normal 2 2 14" xfId="2188"/>
    <cellStyle name="Normal 2 2 15" xfId="2208"/>
    <cellStyle name="Normal 2 2 16" xfId="2200"/>
    <cellStyle name="Normal 2 2 2" xfId="46"/>
    <cellStyle name="Normal 2 2 2 10" xfId="149"/>
    <cellStyle name="Normal 2 2 2 11" xfId="159"/>
    <cellStyle name="Normal 2 2 2 12" xfId="147"/>
    <cellStyle name="Normal 2 2 2 13" xfId="141"/>
    <cellStyle name="Normal 2 2 2 14" xfId="146"/>
    <cellStyle name="Normal 2 2 2 15" xfId="183"/>
    <cellStyle name="Normal 2 2 2 16" xfId="205"/>
    <cellStyle name="Normal 2 2 2 17" xfId="182"/>
    <cellStyle name="Normal 2 2 2 18" xfId="219"/>
    <cellStyle name="Normal 2 2 2 19" xfId="236"/>
    <cellStyle name="Normal 2 2 2 2" xfId="49"/>
    <cellStyle name="Normal 2 2 2 2 10" xfId="145"/>
    <cellStyle name="Normal 2 2 2 2 11" xfId="169"/>
    <cellStyle name="Normal 2 2 2 2 12" xfId="179"/>
    <cellStyle name="Normal 2 2 2 2 13" xfId="185"/>
    <cellStyle name="Normal 2 2 2 2 14" xfId="200"/>
    <cellStyle name="Normal 2 2 2 2 15" xfId="201"/>
    <cellStyle name="Normal 2 2 2 2 16" xfId="221"/>
    <cellStyle name="Normal 2 2 2 2 17" xfId="235"/>
    <cellStyle name="Normal 2 2 2 2 18" xfId="261"/>
    <cellStyle name="Normal 2 2 2 2 19" xfId="256"/>
    <cellStyle name="Normal 2 2 2 2 2" xfId="57"/>
    <cellStyle name="Normal 2 2 2 2 20" xfId="228"/>
    <cellStyle name="Normal 2 2 2 2 21" xfId="238"/>
    <cellStyle name="Normal 2 2 2 2 22" xfId="272"/>
    <cellStyle name="Normal 2 2 2 2 23" xfId="278"/>
    <cellStyle name="Normal 2 2 2 2 24" xfId="304"/>
    <cellStyle name="Normal 2 2 2 2 25" xfId="359"/>
    <cellStyle name="Normal 2 2 2 2 26" xfId="311"/>
    <cellStyle name="Normal 2 2 2 2 27" xfId="344"/>
    <cellStyle name="Normal 2 2 2 2 28" xfId="339"/>
    <cellStyle name="Normal 2 2 2 2 29" xfId="370"/>
    <cellStyle name="Normal 2 2 2 2 3" xfId="75"/>
    <cellStyle name="Normal 2 2 2 2 30" xfId="326"/>
    <cellStyle name="Normal 2 2 2 2 31" xfId="287"/>
    <cellStyle name="Normal 2 2 2 2 32" xfId="353"/>
    <cellStyle name="Normal 2 2 2 2 33" xfId="393"/>
    <cellStyle name="Normal 2 2 2 2 34" xfId="396"/>
    <cellStyle name="Normal 2 2 2 2 35" xfId="315"/>
    <cellStyle name="Normal 2 2 2 2 36" xfId="348"/>
    <cellStyle name="Normal 2 2 2 2 37" xfId="403"/>
    <cellStyle name="Normal 2 2 2 2 38" xfId="413"/>
    <cellStyle name="Normal 2 2 2 2 39" xfId="421"/>
    <cellStyle name="Normal 2 2 2 2 4" xfId="74"/>
    <cellStyle name="Normal 2 2 2 2 40" xfId="441"/>
    <cellStyle name="Normal 2 2 2 2 41" xfId="442"/>
    <cellStyle name="Normal 2 2 2 2 42" xfId="2233"/>
    <cellStyle name="Normal 2 2 2 2 43" xfId="2246"/>
    <cellStyle name="Normal 2 2 2 2 5" xfId="114"/>
    <cellStyle name="Normal 2 2 2 2 6" xfId="121"/>
    <cellStyle name="Normal 2 2 2 2 7" xfId="131"/>
    <cellStyle name="Normal 2 2 2 2 8" xfId="151"/>
    <cellStyle name="Normal 2 2 2 2 9" xfId="165"/>
    <cellStyle name="Normal 2 2 2 20" xfId="246"/>
    <cellStyle name="Normal 2 2 2 21" xfId="267"/>
    <cellStyle name="Normal 2 2 2 22" xfId="215"/>
    <cellStyle name="Normal 2 2 2 23" xfId="260"/>
    <cellStyle name="Normal 2 2 2 24" xfId="269"/>
    <cellStyle name="Normal 2 2 2 25" xfId="276"/>
    <cellStyle name="Normal 2 2 2 26" xfId="302"/>
    <cellStyle name="Normal 2 2 2 27" xfId="324"/>
    <cellStyle name="Normal 2 2 2 28" xfId="352"/>
    <cellStyle name="Normal 2 2 2 29" xfId="387"/>
    <cellStyle name="Normal 2 2 2 3" xfId="56"/>
    <cellStyle name="Normal 2 2 2 30" xfId="296"/>
    <cellStyle name="Normal 2 2 2 31" xfId="285"/>
    <cellStyle name="Normal 2 2 2 32" xfId="318"/>
    <cellStyle name="Normal 2 2 2 33" xfId="328"/>
    <cellStyle name="Normal 2 2 2 34" xfId="330"/>
    <cellStyle name="Normal 2 2 2 35" xfId="374"/>
    <cellStyle name="Normal 2 2 2 36" xfId="293"/>
    <cellStyle name="Normal 2 2 2 37" xfId="295"/>
    <cellStyle name="Normal 2 2 2 38" xfId="391"/>
    <cellStyle name="Normal 2 2 2 39" xfId="211"/>
    <cellStyle name="Normal 2 2 2 4" xfId="55"/>
    <cellStyle name="Normal 2 2 2 40" xfId="415"/>
    <cellStyle name="Normal 2 2 2 41" xfId="419"/>
    <cellStyle name="Normal 2 2 2 42" xfId="429"/>
    <cellStyle name="Normal 2 2 2 43" xfId="435"/>
    <cellStyle name="Normal 2 2 2 44" xfId="2231"/>
    <cellStyle name="Normal 2 2 2 45" xfId="2242"/>
    <cellStyle name="Normal 2 2 2 5" xfId="68"/>
    <cellStyle name="Normal 2 2 2 6" xfId="82"/>
    <cellStyle name="Normal 2 2 2 7" xfId="112"/>
    <cellStyle name="Normal 2 2 2 8" xfId="127"/>
    <cellStyle name="Normal 2 2 2 9" xfId="129"/>
    <cellStyle name="Normal 2 2 3" xfId="48"/>
    <cellStyle name="Normal 2 2 3 10" xfId="113"/>
    <cellStyle name="Normal 2 2 3 11" xfId="120"/>
    <cellStyle name="Normal 2 2 3 12" xfId="130"/>
    <cellStyle name="Normal 2 2 3 13" xfId="150"/>
    <cellStyle name="Normal 2 2 3 14" xfId="166"/>
    <cellStyle name="Normal 2 2 3 15" xfId="171"/>
    <cellStyle name="Normal 2 2 3 16" xfId="139"/>
    <cellStyle name="Normal 2 2 3 17" xfId="142"/>
    <cellStyle name="Normal 2 2 3 18" xfId="184"/>
    <cellStyle name="Normal 2 2 3 19" xfId="202"/>
    <cellStyle name="Normal 2 2 3 2" xfId="50"/>
    <cellStyle name="Normal 2 2 3 2 10" xfId="170"/>
    <cellStyle name="Normal 2 2 3 2 11" xfId="168"/>
    <cellStyle name="Normal 2 2 3 2 12" xfId="180"/>
    <cellStyle name="Normal 2 2 3 2 13" xfId="186"/>
    <cellStyle name="Normal 2 2 3 2 14" xfId="198"/>
    <cellStyle name="Normal 2 2 3 2 15" xfId="207"/>
    <cellStyle name="Normal 2 2 3 2 16" xfId="222"/>
    <cellStyle name="Normal 2 2 3 2 17" xfId="230"/>
    <cellStyle name="Normal 2 2 3 2 18" xfId="262"/>
    <cellStyle name="Normal 2 2 3 2 19" xfId="254"/>
    <cellStyle name="Normal 2 2 3 2 2" xfId="59"/>
    <cellStyle name="Normal 2 2 3 2 20" xfId="251"/>
    <cellStyle name="Normal 2 2 3 2 21" xfId="245"/>
    <cellStyle name="Normal 2 2 3 2 22" xfId="232"/>
    <cellStyle name="Normal 2 2 3 2 23" xfId="279"/>
    <cellStyle name="Normal 2 2 3 2 24" xfId="305"/>
    <cellStyle name="Normal 2 2 3 2 25" xfId="349"/>
    <cellStyle name="Normal 2 2 3 2 26" xfId="343"/>
    <cellStyle name="Normal 2 2 3 2 27" xfId="333"/>
    <cellStyle name="Normal 2 2 3 2 28" xfId="362"/>
    <cellStyle name="Normal 2 2 3 2 29" xfId="347"/>
    <cellStyle name="Normal 2 2 3 2 3" xfId="76"/>
    <cellStyle name="Normal 2 2 3 2 30" xfId="325"/>
    <cellStyle name="Normal 2 2 3 2 31" xfId="361"/>
    <cellStyle name="Normal 2 2 3 2 32" xfId="299"/>
    <cellStyle name="Normal 2 2 3 2 33" xfId="376"/>
    <cellStyle name="Normal 2 2 3 2 34" xfId="298"/>
    <cellStyle name="Normal 2 2 3 2 35" xfId="401"/>
    <cellStyle name="Normal 2 2 3 2 36" xfId="332"/>
    <cellStyle name="Normal 2 2 3 2 37" xfId="407"/>
    <cellStyle name="Normal 2 2 3 2 38" xfId="411"/>
    <cellStyle name="Normal 2 2 3 2 39" xfId="422"/>
    <cellStyle name="Normal 2 2 3 2 4" xfId="73"/>
    <cellStyle name="Normal 2 2 3 2 40" xfId="432"/>
    <cellStyle name="Normal 2 2 3 2 41" xfId="416"/>
    <cellStyle name="Normal 2 2 3 2 42" xfId="2234"/>
    <cellStyle name="Normal 2 2 3 2 43" xfId="2248"/>
    <cellStyle name="Normal 2 2 3 2 5" xfId="115"/>
    <cellStyle name="Normal 2 2 3 2 6" xfId="128"/>
    <cellStyle name="Normal 2 2 3 2 7" xfId="132"/>
    <cellStyle name="Normal 2 2 3 2 8" xfId="152"/>
    <cellStyle name="Normal 2 2 3 2 9" xfId="160"/>
    <cellStyle name="Normal 2 2 3 20" xfId="192"/>
    <cellStyle name="Normal 2 2 3 21" xfId="220"/>
    <cellStyle name="Normal 2 2 3 22" xfId="237"/>
    <cellStyle name="Normal 2 2 3 23" xfId="242"/>
    <cellStyle name="Normal 2 2 3 24" xfId="259"/>
    <cellStyle name="Normal 2 2 3 25" xfId="255"/>
    <cellStyle name="Normal 2 2 3 26" xfId="233"/>
    <cellStyle name="Normal 2 2 3 27" xfId="241"/>
    <cellStyle name="Normal 2 2 3 28" xfId="277"/>
    <cellStyle name="Normal 2 2 3 29" xfId="303"/>
    <cellStyle name="Normal 2 2 3 3" xfId="52"/>
    <cellStyle name="Normal 2 2 3 3 10" xfId="134"/>
    <cellStyle name="Normal 2 2 3 3 11" xfId="154"/>
    <cellStyle name="Normal 2 2 3 3 12" xfId="164"/>
    <cellStyle name="Normal 2 2 3 3 13" xfId="144"/>
    <cellStyle name="Normal 2 2 3 3 14" xfId="176"/>
    <cellStyle name="Normal 2 2 3 3 15" xfId="178"/>
    <cellStyle name="Normal 2 2 3 3 16" xfId="188"/>
    <cellStyle name="Normal 2 2 3 3 17" xfId="196"/>
    <cellStyle name="Normal 2 2 3 3 18" xfId="203"/>
    <cellStyle name="Normal 2 2 3 3 19" xfId="224"/>
    <cellStyle name="Normal 2 2 3 3 2" xfId="54"/>
    <cellStyle name="Normal 2 2 3 3 2 10" xfId="148"/>
    <cellStyle name="Normal 2 2 3 3 2 11" xfId="175"/>
    <cellStyle name="Normal 2 2 3 3 2 12" xfId="143"/>
    <cellStyle name="Normal 2 2 3 3 2 13" xfId="190"/>
    <cellStyle name="Normal 2 2 3 3 2 14" xfId="194"/>
    <cellStyle name="Normal 2 2 3 3 2 15" xfId="208"/>
    <cellStyle name="Normal 2 2 3 3 2 16" xfId="226"/>
    <cellStyle name="Normal 2 2 3 3 2 17" xfId="247"/>
    <cellStyle name="Normal 2 2 3 3 2 18" xfId="270"/>
    <cellStyle name="Normal 2 2 3 3 2 19" xfId="217"/>
    <cellStyle name="Normal 2 2 3 3 2 2" xfId="65"/>
    <cellStyle name="Normal 2 2 3 3 2 20" xfId="264"/>
    <cellStyle name="Normal 2 2 3 3 2 21" xfId="213"/>
    <cellStyle name="Normal 2 2 3 3 2 22" xfId="239"/>
    <cellStyle name="Normal 2 2 3 3 2 23" xfId="283"/>
    <cellStyle name="Normal 2 2 3 3 2 24" xfId="309"/>
    <cellStyle name="Normal 2 2 3 3 2 25" xfId="334"/>
    <cellStyle name="Normal 2 2 3 3 2 26" xfId="316"/>
    <cellStyle name="Normal 2 2 3 3 2 27" xfId="289"/>
    <cellStyle name="Normal 2 2 3 3 2 28" xfId="290"/>
    <cellStyle name="Normal 2 2 3 3 2 29" xfId="390"/>
    <cellStyle name="Normal 2 2 3 3 2 3" xfId="80"/>
    <cellStyle name="Normal 2 2 3 3 2 30" xfId="323"/>
    <cellStyle name="Normal 2 2 3 3 2 31" xfId="372"/>
    <cellStyle name="Normal 2 2 3 3 2 32" xfId="322"/>
    <cellStyle name="Normal 2 2 3 3 2 33" xfId="365"/>
    <cellStyle name="Normal 2 2 3 3 2 34" xfId="366"/>
    <cellStyle name="Normal 2 2 3 3 2 35" xfId="317"/>
    <cellStyle name="Normal 2 2 3 3 2 36" xfId="338"/>
    <cellStyle name="Normal 2 2 3 3 2 37" xfId="406"/>
    <cellStyle name="Normal 2 2 3 3 2 38" xfId="414"/>
    <cellStyle name="Normal 2 2 3 3 2 39" xfId="426"/>
    <cellStyle name="Normal 2 2 3 3 2 4" xfId="109"/>
    <cellStyle name="Normal 2 2 3 3 2 40" xfId="438"/>
    <cellStyle name="Normal 2 2 3 3 2 41" xfId="430"/>
    <cellStyle name="Normal 2 2 3 3 2 42" xfId="2238"/>
    <cellStyle name="Normal 2 2 3 3 2 43" xfId="2243"/>
    <cellStyle name="Normal 2 2 3 3 2 5" xfId="119"/>
    <cellStyle name="Normal 2 2 3 3 2 6" xfId="124"/>
    <cellStyle name="Normal 2 2 3 3 2 7" xfId="136"/>
    <cellStyle name="Normal 2 2 3 3 2 8" xfId="156"/>
    <cellStyle name="Normal 2 2 3 3 2 9" xfId="162"/>
    <cellStyle name="Normal 2 2 3 3 20" xfId="253"/>
    <cellStyle name="Normal 2 2 3 3 21" xfId="227"/>
    <cellStyle name="Normal 2 2 3 3 22" xfId="243"/>
    <cellStyle name="Normal 2 2 3 3 23" xfId="252"/>
    <cellStyle name="Normal 2 2 3 3 24" xfId="249"/>
    <cellStyle name="Normal 2 2 3 3 25" xfId="250"/>
    <cellStyle name="Normal 2 2 3 3 26" xfId="281"/>
    <cellStyle name="Normal 2 2 3 3 27" xfId="307"/>
    <cellStyle name="Normal 2 2 3 3 28" xfId="342"/>
    <cellStyle name="Normal 2 2 3 3 29" xfId="354"/>
    <cellStyle name="Normal 2 2 3 3 3" xfId="63"/>
    <cellStyle name="Normal 2 2 3 3 30" xfId="379"/>
    <cellStyle name="Normal 2 2 3 3 31" xfId="388"/>
    <cellStyle name="Normal 2 2 3 3 32" xfId="384"/>
    <cellStyle name="Normal 2 2 3 3 33" xfId="331"/>
    <cellStyle name="Normal 2 2 3 3 34" xfId="378"/>
    <cellStyle name="Normal 2 2 3 3 35" xfId="360"/>
    <cellStyle name="Normal 2 2 3 3 36" xfId="385"/>
    <cellStyle name="Normal 2 2 3 3 37" xfId="350"/>
    <cellStyle name="Normal 2 2 3 3 38" xfId="394"/>
    <cellStyle name="Normal 2 2 3 3 39" xfId="355"/>
    <cellStyle name="Normal 2 2 3 3 4" xfId="60"/>
    <cellStyle name="Normal 2 2 3 3 40" xfId="404"/>
    <cellStyle name="Normal 2 2 3 3 41" xfId="412"/>
    <cellStyle name="Normal 2 2 3 3 42" xfId="424"/>
    <cellStyle name="Normal 2 2 3 3 43" xfId="440"/>
    <cellStyle name="Normal 2 2 3 3 44" xfId="417"/>
    <cellStyle name="Normal 2 2 3 3 45" xfId="2236"/>
    <cellStyle name="Normal 2 2 3 3 46" xfId="2247"/>
    <cellStyle name="Normal 2 2 3 3 5" xfId="78"/>
    <cellStyle name="Normal 2 2 3 3 5 2" xfId="87"/>
    <cellStyle name="Normal 2 2 3 3 5 3" xfId="92"/>
    <cellStyle name="Normal 2 2 3 3 5 3 2" xfId="97"/>
    <cellStyle name="Normal 2 2 3 3 5 4" xfId="102"/>
    <cellStyle name="Normal 2 2 3 3 5 5" xfId="100"/>
    <cellStyle name="Normal 2 2 3 3 5 5 2" xfId="108"/>
    <cellStyle name="Normal 2 2 3 3 6" xfId="105"/>
    <cellStyle name="Normal 2 2 3 3 7" xfId="71"/>
    <cellStyle name="Normal 2 2 3 3 8" xfId="117"/>
    <cellStyle name="Normal 2 2 3 3 9" xfId="122"/>
    <cellStyle name="Normal 2 2 3 30" xfId="314"/>
    <cellStyle name="Normal 2 2 3 31" xfId="368"/>
    <cellStyle name="Normal 2 2 3 32" xfId="351"/>
    <cellStyle name="Normal 2 2 3 33" xfId="345"/>
    <cellStyle name="Normal 2 2 3 34" xfId="288"/>
    <cellStyle name="Normal 2 2 3 35" xfId="335"/>
    <cellStyle name="Normal 2 2 3 36" xfId="319"/>
    <cellStyle name="Normal 2 2 3 37" xfId="389"/>
    <cellStyle name="Normal 2 2 3 38" xfId="327"/>
    <cellStyle name="Normal 2 2 3 39" xfId="340"/>
    <cellStyle name="Normal 2 2 3 4" xfId="58"/>
    <cellStyle name="Normal 2 2 3 40" xfId="398"/>
    <cellStyle name="Normal 2 2 3 41" xfId="369"/>
    <cellStyle name="Normal 2 2 3 42" xfId="210"/>
    <cellStyle name="Normal 2 2 3 43" xfId="409"/>
    <cellStyle name="Normal 2 2 3 44" xfId="420"/>
    <cellStyle name="Normal 2 2 3 45" xfId="428"/>
    <cellStyle name="Normal 2 2 3 46" xfId="434"/>
    <cellStyle name="Normal 2 2 3 47" xfId="2232"/>
    <cellStyle name="Normal 2 2 3 48" xfId="2241"/>
    <cellStyle name="Normal 2 2 3 5" xfId="66"/>
    <cellStyle name="Normal 2 2 3 5 10" xfId="157"/>
    <cellStyle name="Normal 2 2 3 5 11" xfId="44"/>
    <cellStyle name="Normal 2 2 3 5 12" xfId="167"/>
    <cellStyle name="Normal 2 2 3 5 13" xfId="181"/>
    <cellStyle name="Normal 2 2 3 5 14" xfId="191"/>
    <cellStyle name="Normal 2 2 3 5 15" xfId="199"/>
    <cellStyle name="Normal 2 2 3 5 16" xfId="204"/>
    <cellStyle name="Normal 2 2 3 5 17" xfId="229"/>
    <cellStyle name="Normal 2 2 3 5 18" xfId="268"/>
    <cellStyle name="Normal 2 2 3 5 19" xfId="214"/>
    <cellStyle name="Normal 2 2 3 5 2" xfId="67"/>
    <cellStyle name="Normal 2 2 3 5 20" xfId="234"/>
    <cellStyle name="Normal 2 2 3 5 21" xfId="240"/>
    <cellStyle name="Normal 2 2 3 5 22" xfId="265"/>
    <cellStyle name="Normal 2 2 3 5 23" xfId="218"/>
    <cellStyle name="Normal 2 2 3 5 24" xfId="284"/>
    <cellStyle name="Normal 2 2 3 5 25" xfId="312"/>
    <cellStyle name="Normal 2 2 3 5 26" xfId="301"/>
    <cellStyle name="Normal 2 2 3 5 27" xfId="291"/>
    <cellStyle name="Normal 2 2 3 5 28" xfId="358"/>
    <cellStyle name="Normal 2 2 3 5 29" xfId="310"/>
    <cellStyle name="Normal 2 2 3 5 3" xfId="81"/>
    <cellStyle name="Normal 2 2 3 5 3 2" xfId="84"/>
    <cellStyle name="Normal 2 2 3 5 3 3" xfId="90"/>
    <cellStyle name="Normal 2 2 3 5 3 3 2" xfId="95"/>
    <cellStyle name="Normal 2 2 3 5 30" xfId="367"/>
    <cellStyle name="Normal 2 2 3 5 31" xfId="297"/>
    <cellStyle name="Normal 2 2 3 5 32" xfId="386"/>
    <cellStyle name="Normal 2 2 3 5 33" xfId="373"/>
    <cellStyle name="Normal 2 2 3 5 34" xfId="346"/>
    <cellStyle name="Normal 2 2 3 5 35" xfId="356"/>
    <cellStyle name="Normal 2 2 3 5 36" xfId="300"/>
    <cellStyle name="Normal 2 2 3 5 37" xfId="380"/>
    <cellStyle name="Normal 2 2 3 5 38" xfId="209"/>
    <cellStyle name="Normal 2 2 3 5 39" xfId="408"/>
    <cellStyle name="Normal 2 2 3 5 4" xfId="98"/>
    <cellStyle name="Normal 2 2 3 5 4 2" xfId="106"/>
    <cellStyle name="Normal 2 2 3 5 40" xfId="427"/>
    <cellStyle name="Normal 2 2 3 5 41" xfId="433"/>
    <cellStyle name="Normal 2 2 3 5 42" xfId="431"/>
    <cellStyle name="Normal 2 2 3 5 43" xfId="2239"/>
    <cellStyle name="Normal 2 2 3 5 44" xfId="2244"/>
    <cellStyle name="Normal 2 2 3 5 5" xfId="110"/>
    <cellStyle name="Normal 2 2 3 5 6" xfId="123"/>
    <cellStyle name="Normal 2 2 3 5 7" xfId="111"/>
    <cellStyle name="Normal 2 2 3 5 8" xfId="137"/>
    <cellStyle name="Normal 2 2 3 5 9" xfId="158"/>
    <cellStyle name="Normal 2 2 3 6" xfId="69"/>
    <cellStyle name="Normal 2 2 3 6 2" xfId="85"/>
    <cellStyle name="Normal 2 2 3 6 3" xfId="89"/>
    <cellStyle name="Normal 2 2 3 6 3 2" xfId="94"/>
    <cellStyle name="Normal 2 2 3 7" xfId="88"/>
    <cellStyle name="Normal 2 2 3 7 2" xfId="93"/>
    <cellStyle name="Normal 2 2 3 8" xfId="103"/>
    <cellStyle name="Normal 2 2 3 9" xfId="83"/>
    <cellStyle name="Normal 2 2 4" xfId="51"/>
    <cellStyle name="Normal 2 2 4 10" xfId="133"/>
    <cellStyle name="Normal 2 2 4 11" xfId="153"/>
    <cellStyle name="Normal 2 2 4 12" xfId="163"/>
    <cellStyle name="Normal 2 2 4 13" xfId="174"/>
    <cellStyle name="Normal 2 2 4 14" xfId="172"/>
    <cellStyle name="Normal 2 2 4 15" xfId="138"/>
    <cellStyle name="Normal 2 2 4 16" xfId="187"/>
    <cellStyle name="Normal 2 2 4 17" xfId="197"/>
    <cellStyle name="Normal 2 2 4 18" xfId="193"/>
    <cellStyle name="Normal 2 2 4 19" xfId="223"/>
    <cellStyle name="Normal 2 2 4 2" xfId="53"/>
    <cellStyle name="Normal 2 2 4 2 10" xfId="140"/>
    <cellStyle name="Normal 2 2 4 2 11" xfId="173"/>
    <cellStyle name="Normal 2 2 4 2 12" xfId="177"/>
    <cellStyle name="Normal 2 2 4 2 13" xfId="189"/>
    <cellStyle name="Normal 2 2 4 2 14" xfId="195"/>
    <cellStyle name="Normal 2 2 4 2 15" xfId="206"/>
    <cellStyle name="Normal 2 2 4 2 16" xfId="225"/>
    <cellStyle name="Normal 2 2 4 2 17" xfId="244"/>
    <cellStyle name="Normal 2 2 4 2 18" xfId="248"/>
    <cellStyle name="Normal 2 2 4 2 19" xfId="258"/>
    <cellStyle name="Normal 2 2 4 2 2" xfId="64"/>
    <cellStyle name="Normal 2 2 4 2 20" xfId="266"/>
    <cellStyle name="Normal 2 2 4 2 21" xfId="216"/>
    <cellStyle name="Normal 2 2 4 2 22" xfId="231"/>
    <cellStyle name="Normal 2 2 4 2 23" xfId="282"/>
    <cellStyle name="Normal 2 2 4 2 24" xfId="308"/>
    <cellStyle name="Normal 2 2 4 2 25" xfId="336"/>
    <cellStyle name="Normal 2 2 4 2 26" xfId="363"/>
    <cellStyle name="Normal 2 2 4 2 27" xfId="375"/>
    <cellStyle name="Normal 2 2 4 2 28" xfId="292"/>
    <cellStyle name="Normal 2 2 4 2 29" xfId="377"/>
    <cellStyle name="Normal 2 2 4 2 3" xfId="79"/>
    <cellStyle name="Normal 2 2 4 2 30" xfId="320"/>
    <cellStyle name="Normal 2 2 4 2 31" xfId="294"/>
    <cellStyle name="Normal 2 2 4 2 32" xfId="313"/>
    <cellStyle name="Normal 2 2 4 2 33" xfId="329"/>
    <cellStyle name="Normal 2 2 4 2 34" xfId="286"/>
    <cellStyle name="Normal 2 2 4 2 35" xfId="382"/>
    <cellStyle name="Normal 2 2 4 2 36" xfId="381"/>
    <cellStyle name="Normal 2 2 4 2 37" xfId="212"/>
    <cellStyle name="Normal 2 2 4 2 38" xfId="405"/>
    <cellStyle name="Normal 2 2 4 2 39" xfId="425"/>
    <cellStyle name="Normal 2 2 4 2 4" xfId="70"/>
    <cellStyle name="Normal 2 2 4 2 40" xfId="437"/>
    <cellStyle name="Normal 2 2 4 2 41" xfId="418"/>
    <cellStyle name="Normal 2 2 4 2 42" xfId="2237"/>
    <cellStyle name="Normal 2 2 4 2 43" xfId="2245"/>
    <cellStyle name="Normal 2 2 4 2 5" xfId="118"/>
    <cellStyle name="Normal 2 2 4 2 6" xfId="126"/>
    <cellStyle name="Normal 2 2 4 2 7" xfId="135"/>
    <cellStyle name="Normal 2 2 4 2 8" xfId="155"/>
    <cellStyle name="Normal 2 2 4 2 9" xfId="161"/>
    <cellStyle name="Normal 2 2 4 20" xfId="263"/>
    <cellStyle name="Normal 2 2 4 21" xfId="257"/>
    <cellStyle name="Normal 2 2 4 22" xfId="271"/>
    <cellStyle name="Normal 2 2 4 23" xfId="273"/>
    <cellStyle name="Normal 2 2 4 24" xfId="274"/>
    <cellStyle name="Normal 2 2 4 25" xfId="275"/>
    <cellStyle name="Normal 2 2 4 26" xfId="280"/>
    <cellStyle name="Normal 2 2 4 27" xfId="306"/>
    <cellStyle name="Normal 2 2 4 28" xfId="337"/>
    <cellStyle name="Normal 2 2 4 29" xfId="341"/>
    <cellStyle name="Normal 2 2 4 3" xfId="62"/>
    <cellStyle name="Normal 2 2 4 30" xfId="357"/>
    <cellStyle name="Normal 2 2 4 31" xfId="321"/>
    <cellStyle name="Normal 2 2 4 32" xfId="364"/>
    <cellStyle name="Normal 2 2 4 33" xfId="392"/>
    <cellStyle name="Normal 2 2 4 34" xfId="395"/>
    <cellStyle name="Normal 2 2 4 35" xfId="397"/>
    <cellStyle name="Normal 2 2 4 36" xfId="399"/>
    <cellStyle name="Normal 2 2 4 37" xfId="400"/>
    <cellStyle name="Normal 2 2 4 38" xfId="383"/>
    <cellStyle name="Normal 2 2 4 39" xfId="371"/>
    <cellStyle name="Normal 2 2 4 4" xfId="61"/>
    <cellStyle name="Normal 2 2 4 40" xfId="402"/>
    <cellStyle name="Normal 2 2 4 41" xfId="410"/>
    <cellStyle name="Normal 2 2 4 42" xfId="423"/>
    <cellStyle name="Normal 2 2 4 43" xfId="439"/>
    <cellStyle name="Normal 2 2 4 44" xfId="436"/>
    <cellStyle name="Normal 2 2 4 45" xfId="2235"/>
    <cellStyle name="Normal 2 2 4 46" xfId="2240"/>
    <cellStyle name="Normal 2 2 4 5" xfId="77"/>
    <cellStyle name="Normal 2 2 4 5 2" xfId="86"/>
    <cellStyle name="Normal 2 2 4 5 3" xfId="91"/>
    <cellStyle name="Normal 2 2 4 5 3 2" xfId="96"/>
    <cellStyle name="Normal 2 2 4 5 4" xfId="101"/>
    <cellStyle name="Normal 2 2 4 5 5" xfId="99"/>
    <cellStyle name="Normal 2 2 4 5 5 2" xfId="107"/>
    <cellStyle name="Normal 2 2 4 6" xfId="104"/>
    <cellStyle name="Normal 2 2 4 7" xfId="72"/>
    <cellStyle name="Normal 2 2 4 8" xfId="116"/>
    <cellStyle name="Normal 2 2 4 9" xfId="125"/>
    <cellStyle name="Normal 2 2 5" xfId="475"/>
    <cellStyle name="Normal 2 2 5 10" xfId="2198"/>
    <cellStyle name="Normal 2 2 5 11" xfId="2227"/>
    <cellStyle name="Normal 2 2 5 12" xfId="2203"/>
    <cellStyle name="Normal 2 2 5 2" xfId="489"/>
    <cellStyle name="Normal 2 2 5 3" xfId="2186"/>
    <cellStyle name="Normal 2 2 5 4" xfId="2212"/>
    <cellStyle name="Normal 2 2 5 5" xfId="483"/>
    <cellStyle name="Normal 2 2 5 6" xfId="2210"/>
    <cellStyle name="Normal 2 2 5 7" xfId="2196"/>
    <cellStyle name="Normal 2 2 5 8" xfId="482"/>
    <cellStyle name="Normal 2 2 5 9" xfId="2224"/>
    <cellStyle name="Normal 2 2 6" xfId="490"/>
    <cellStyle name="Normal 2 2 7" xfId="476"/>
    <cellStyle name="Normal 2 2 8" xfId="2197"/>
    <cellStyle name="Normal 2 2 9" xfId="2195"/>
    <cellStyle name="Normal 2 20" xfId="1078"/>
    <cellStyle name="Normal 2 21" xfId="1096"/>
    <cellStyle name="Normal 2 22" xfId="1112"/>
    <cellStyle name="Normal 2 23" xfId="1129"/>
    <cellStyle name="Normal 2 24" xfId="1054"/>
    <cellStyle name="Normal 2 25" xfId="774"/>
    <cellStyle name="Normal 2 26" xfId="1205"/>
    <cellStyle name="Normal 2 27" xfId="872"/>
    <cellStyle name="Normal 2 28" xfId="1156"/>
    <cellStyle name="Normal 2 29" xfId="1234"/>
    <cellStyle name="Normal 2 3" xfId="47"/>
    <cellStyle name="Normal 2 30" xfId="1250"/>
    <cellStyle name="Normal 2 31" xfId="1266"/>
    <cellStyle name="Normal 2 32" xfId="1285"/>
    <cellStyle name="Normal 2 33" xfId="1303"/>
    <cellStyle name="Normal 2 34" xfId="1322"/>
    <cellStyle name="Normal 2 35" xfId="1340"/>
    <cellStyle name="Normal 2 36" xfId="1357"/>
    <cellStyle name="Normal 2 37" xfId="1375"/>
    <cellStyle name="Normal 2 38" xfId="1391"/>
    <cellStyle name="Normal 2 39" xfId="1408"/>
    <cellStyle name="Normal 2 4" xfId="470"/>
    <cellStyle name="Normal 2 4 10" xfId="2207"/>
    <cellStyle name="Normal 2 4 11" xfId="2220"/>
    <cellStyle name="Normal 2 4 12" xfId="2190"/>
    <cellStyle name="Normal 2 4 2" xfId="488"/>
    <cellStyle name="Normal 2 4 3" xfId="2185"/>
    <cellStyle name="Normal 2 4 4" xfId="2204"/>
    <cellStyle name="Normal 2 4 5" xfId="479"/>
    <cellStyle name="Normal 2 4 6" xfId="2201"/>
    <cellStyle name="Normal 2 4 7" xfId="2230"/>
    <cellStyle name="Normal 2 4 8" xfId="2215"/>
    <cellStyle name="Normal 2 4 9" xfId="2226"/>
    <cellStyle name="Normal 2 40" xfId="1426"/>
    <cellStyle name="Normal 2 41" xfId="1444"/>
    <cellStyle name="Normal 2 42" xfId="1461"/>
    <cellStyle name="Normal 2 43" xfId="1479"/>
    <cellStyle name="Normal 2 44" xfId="1495"/>
    <cellStyle name="Normal 2 45" xfId="1509"/>
    <cellStyle name="Normal 2 46" xfId="1055"/>
    <cellStyle name="Normal 2 47" xfId="1242"/>
    <cellStyle name="Normal 2 48" xfId="1366"/>
    <cellStyle name="Normal 2 49" xfId="1437"/>
    <cellStyle name="Normal 2 5" xfId="491"/>
    <cellStyle name="Normal 2 50" xfId="1483"/>
    <cellStyle name="Normal 2 51" xfId="1604"/>
    <cellStyle name="Normal 2 52" xfId="1620"/>
    <cellStyle name="Normal 2 53" xfId="1636"/>
    <cellStyle name="Normal 2 54" xfId="1652"/>
    <cellStyle name="Normal 2 55" xfId="1668"/>
    <cellStyle name="Normal 2 56" xfId="1684"/>
    <cellStyle name="Normal 2 57" xfId="1700"/>
    <cellStyle name="Normal 2 58" xfId="1716"/>
    <cellStyle name="Normal 2 59" xfId="1731"/>
    <cellStyle name="Normal 2 6" xfId="529"/>
    <cellStyle name="Normal 2 60" xfId="1746"/>
    <cellStyle name="Normal 2 61" xfId="1761"/>
    <cellStyle name="Normal 2 62" xfId="1776"/>
    <cellStyle name="Normal 2 63" xfId="1791"/>
    <cellStyle name="Normal 2 64" xfId="1806"/>
    <cellStyle name="Normal 2 65" xfId="1821"/>
    <cellStyle name="Normal 2 66" xfId="1836"/>
    <cellStyle name="Normal 2 67" xfId="1851"/>
    <cellStyle name="Normal 2 68" xfId="1866"/>
    <cellStyle name="Normal 2 69" xfId="1881"/>
    <cellStyle name="Normal 2 7" xfId="842"/>
    <cellStyle name="Normal 2 70" xfId="1894"/>
    <cellStyle name="Normal 2 71" xfId="1907"/>
    <cellStyle name="Normal 2 72" xfId="1920"/>
    <cellStyle name="Normal 2 73" xfId="1933"/>
    <cellStyle name="Normal 2 74" xfId="1945"/>
    <cellStyle name="Normal 2 75" xfId="1957"/>
    <cellStyle name="Normal 2 76" xfId="1969"/>
    <cellStyle name="Normal 2 77" xfId="1981"/>
    <cellStyle name="Normal 2 78" xfId="1993"/>
    <cellStyle name="Normal 2 79" xfId="2005"/>
    <cellStyle name="Normal 2 8" xfId="907"/>
    <cellStyle name="Normal 2 80" xfId="2017"/>
    <cellStyle name="Normal 2 81" xfId="2029"/>
    <cellStyle name="Normal 2 82" xfId="2041"/>
    <cellStyle name="Normal 2 83" xfId="2053"/>
    <cellStyle name="Normal 2 84" xfId="2065"/>
    <cellStyle name="Normal 2 85" xfId="2077"/>
    <cellStyle name="Normal 2 86" xfId="2089"/>
    <cellStyle name="Normal 2 87" xfId="2100"/>
    <cellStyle name="Normal 2 88" xfId="2110"/>
    <cellStyle name="Normal 2 89" xfId="2120"/>
    <cellStyle name="Normal 2 9" xfId="525"/>
    <cellStyle name="Normal 2 90" xfId="2128"/>
    <cellStyle name="Normal 2 91" xfId="2135"/>
    <cellStyle name="Normal 2 92" xfId="2142"/>
    <cellStyle name="Normal 2 93" xfId="2149"/>
    <cellStyle name="Normal 2 94" xfId="2156"/>
    <cellStyle name="Normal 2 95" xfId="485"/>
    <cellStyle name="Normal 2 96" xfId="2223"/>
    <cellStyle name="Normal 2 97" xfId="2194"/>
    <cellStyle name="Normal 2 98" xfId="486"/>
    <cellStyle name="Normal 2 99" xfId="2189"/>
    <cellStyle name="Normal 20" xfId="459"/>
    <cellStyle name="Normal 21" xfId="460"/>
    <cellStyle name="Normal 22" xfId="461"/>
    <cellStyle name="Normal 23" xfId="462"/>
    <cellStyle name="Normal 24" xfId="463"/>
    <cellStyle name="Normal 25" xfId="467"/>
    <cellStyle name="Normal 25 10" xfId="2221"/>
    <cellStyle name="Normal 25 11" xfId="2217"/>
    <cellStyle name="Normal 25 12" xfId="2202"/>
    <cellStyle name="Normal 25 2" xfId="487"/>
    <cellStyle name="Normal 25 3" xfId="2184"/>
    <cellStyle name="Normal 25 4" xfId="2213"/>
    <cellStyle name="Normal 25 5" xfId="480"/>
    <cellStyle name="Normal 25 6" xfId="2209"/>
    <cellStyle name="Normal 25 7" xfId="2229"/>
    <cellStyle name="Normal 25 8" xfId="2218"/>
    <cellStyle name="Normal 25 9" xfId="2222"/>
    <cellStyle name="Normal 26" xfId="464"/>
    <cellStyle name="Normal 27" xfId="465"/>
    <cellStyle name="Normal 28" xfId="466"/>
    <cellStyle name="Normal 29" xfId="473"/>
    <cellStyle name="Normal 29 10" xfId="792"/>
    <cellStyle name="Normal 29 11" xfId="670"/>
    <cellStyle name="Normal 29 12" xfId="595"/>
    <cellStyle name="Normal 29 13" xfId="656"/>
    <cellStyle name="Normal 29 14" xfId="549"/>
    <cellStyle name="Normal 29 15" xfId="742"/>
    <cellStyle name="Normal 29 16" xfId="686"/>
    <cellStyle name="Normal 29 17" xfId="854"/>
    <cellStyle name="Normal 29 18" xfId="841"/>
    <cellStyle name="Normal 29 19" xfId="602"/>
    <cellStyle name="Normal 29 2" xfId="532"/>
    <cellStyle name="Normal 29 20" xfId="1052"/>
    <cellStyle name="Normal 29 21" xfId="1082"/>
    <cellStyle name="Normal 29 22" xfId="925"/>
    <cellStyle name="Normal 29 23" xfId="1202"/>
    <cellStyle name="Normal 29 24" xfId="958"/>
    <cellStyle name="Normal 29 25" xfId="914"/>
    <cellStyle name="Normal 29 26" xfId="573"/>
    <cellStyle name="Normal 29 27" xfId="613"/>
    <cellStyle name="Normal 29 28" xfId="935"/>
    <cellStyle name="Normal 29 29" xfId="590"/>
    <cellStyle name="Normal 29 3" xfId="867"/>
    <cellStyle name="Normal 29 30" xfId="1131"/>
    <cellStyle name="Normal 29 31" xfId="1102"/>
    <cellStyle name="Normal 29 32" xfId="1133"/>
    <cellStyle name="Normal 29 33" xfId="766"/>
    <cellStyle name="Normal 29 34" xfId="575"/>
    <cellStyle name="Normal 29 35" xfId="666"/>
    <cellStyle name="Normal 29 36" xfId="893"/>
    <cellStyle name="Normal 29 37" xfId="855"/>
    <cellStyle name="Normal 29 38" xfId="612"/>
    <cellStyle name="Normal 29 39" xfId="1169"/>
    <cellStyle name="Normal 29 4" xfId="702"/>
    <cellStyle name="Normal 29 40" xfId="1213"/>
    <cellStyle name="Normal 29 41" xfId="1155"/>
    <cellStyle name="Normal 29 42" xfId="1438"/>
    <cellStyle name="Normal 29 43" xfId="600"/>
    <cellStyle name="Normal 29 44" xfId="1462"/>
    <cellStyle name="Normal 29 45" xfId="1293"/>
    <cellStyle name="Normal 29 46" xfId="1377"/>
    <cellStyle name="Normal 29 47" xfId="908"/>
    <cellStyle name="Normal 29 48" xfId="1275"/>
    <cellStyle name="Normal 29 49" xfId="776"/>
    <cellStyle name="Normal 29 5" xfId="648"/>
    <cellStyle name="Normal 29 50" xfId="1454"/>
    <cellStyle name="Normal 29 51" xfId="1427"/>
    <cellStyle name="Normal 29 52" xfId="717"/>
    <cellStyle name="Normal 29 53" xfId="843"/>
    <cellStyle name="Normal 29 54" xfId="1235"/>
    <cellStyle name="Normal 29 55" xfId="1409"/>
    <cellStyle name="Normal 29 56" xfId="1429"/>
    <cellStyle name="Normal 29 57" xfId="858"/>
    <cellStyle name="Normal 29 58" xfId="1017"/>
    <cellStyle name="Normal 29 59" xfId="1167"/>
    <cellStyle name="Normal 29 6" xfId="536"/>
    <cellStyle name="Normal 29 60" xfId="1119"/>
    <cellStyle name="Normal 29 61" xfId="1312"/>
    <cellStyle name="Normal 29 62" xfId="1589"/>
    <cellStyle name="Normal 29 63" xfId="1436"/>
    <cellStyle name="Normal 29 64" xfId="924"/>
    <cellStyle name="Normal 29 65" xfId="1140"/>
    <cellStyle name="Normal 29 66" xfId="680"/>
    <cellStyle name="Normal 29 67" xfId="699"/>
    <cellStyle name="Normal 29 68" xfId="1091"/>
    <cellStyle name="Normal 29 69" xfId="1572"/>
    <cellStyle name="Normal 29 7" xfId="835"/>
    <cellStyle name="Normal 29 70" xfId="1456"/>
    <cellStyle name="Normal 29 71" xfId="1439"/>
    <cellStyle name="Normal 29 72" xfId="1576"/>
    <cellStyle name="Normal 29 73" xfId="1159"/>
    <cellStyle name="Normal 29 74" xfId="1526"/>
    <cellStyle name="Normal 29 75" xfId="1084"/>
    <cellStyle name="Normal 29 76" xfId="885"/>
    <cellStyle name="Normal 29 77" xfId="1556"/>
    <cellStyle name="Normal 29 78" xfId="1525"/>
    <cellStyle name="Normal 29 79" xfId="1231"/>
    <cellStyle name="Normal 29 8" xfId="745"/>
    <cellStyle name="Normal 29 80" xfId="697"/>
    <cellStyle name="Normal 29 81" xfId="683"/>
    <cellStyle name="Normal 29 82" xfId="1549"/>
    <cellStyle name="Normal 29 83" xfId="558"/>
    <cellStyle name="Normal 29 84" xfId="877"/>
    <cellStyle name="Normal 29 85" xfId="1515"/>
    <cellStyle name="Normal 29 86" xfId="1432"/>
    <cellStyle name="Normal 29 87" xfId="1223"/>
    <cellStyle name="Normal 29 88" xfId="1502"/>
    <cellStyle name="Normal 29 89" xfId="945"/>
    <cellStyle name="Normal 29 9" xfId="660"/>
    <cellStyle name="Normal 29 90" xfId="1518"/>
    <cellStyle name="Normal 3" xfId="42"/>
    <cellStyle name="Normal 3 10" xfId="900"/>
    <cellStyle name="Normal 3 11" xfId="496"/>
    <cellStyle name="Normal 3 12" xfId="502"/>
    <cellStyle name="Normal 3 13" xfId="928"/>
    <cellStyle name="Normal 3 14" xfId="947"/>
    <cellStyle name="Normal 3 15" xfId="965"/>
    <cellStyle name="Normal 3 16" xfId="984"/>
    <cellStyle name="Normal 3 17" xfId="1001"/>
    <cellStyle name="Normal 3 18" xfId="1019"/>
    <cellStyle name="Normal 3 19" xfId="1037"/>
    <cellStyle name="Normal 3 2" xfId="534"/>
    <cellStyle name="Normal 3 20" xfId="539"/>
    <cellStyle name="Normal 3 21" xfId="837"/>
    <cellStyle name="Normal 3 22" xfId="553"/>
    <cellStyle name="Normal 3 23" xfId="1157"/>
    <cellStyle name="Normal 3 24" xfId="1192"/>
    <cellStyle name="Normal 3 25" xfId="839"/>
    <cellStyle name="Normal 3 26" xfId="754"/>
    <cellStyle name="Normal 3 27" xfId="605"/>
    <cellStyle name="Normal 3 28" xfId="1208"/>
    <cellStyle name="Normal 3 29" xfId="962"/>
    <cellStyle name="Normal 3 3" xfId="863"/>
    <cellStyle name="Normal 3 30" xfId="1221"/>
    <cellStyle name="Normal 3 31" xfId="1245"/>
    <cellStyle name="Normal 3 32" xfId="1260"/>
    <cellStyle name="Normal 3 33" xfId="1279"/>
    <cellStyle name="Normal 3 34" xfId="1297"/>
    <cellStyle name="Normal 3 35" xfId="1316"/>
    <cellStyle name="Normal 3 36" xfId="1334"/>
    <cellStyle name="Normal 3 37" xfId="1351"/>
    <cellStyle name="Normal 3 38" xfId="1369"/>
    <cellStyle name="Normal 3 39" xfId="1385"/>
    <cellStyle name="Normal 3 4" xfId="548"/>
    <cellStyle name="Normal 3 40" xfId="1402"/>
    <cellStyle name="Normal 3 41" xfId="1420"/>
    <cellStyle name="Normal 3 42" xfId="1002"/>
    <cellStyle name="Normal 3 43" xfId="783"/>
    <cellStyle name="Normal 3 44" xfId="1541"/>
    <cellStyle name="Normal 3 45" xfId="1033"/>
    <cellStyle name="Normal 3 46" xfId="921"/>
    <cellStyle name="Normal 3 47" xfId="1399"/>
    <cellStyle name="Normal 3 48" xfId="1138"/>
    <cellStyle name="Normal 3 49" xfId="1574"/>
    <cellStyle name="Normal 3 5" xfId="736"/>
    <cellStyle name="Normal 3 50" xfId="1307"/>
    <cellStyle name="Normal 3 51" xfId="1560"/>
    <cellStyle name="Normal 3 52" xfId="1596"/>
    <cellStyle name="Normal 3 53" xfId="1614"/>
    <cellStyle name="Normal 3 54" xfId="1630"/>
    <cellStyle name="Normal 3 55" xfId="1646"/>
    <cellStyle name="Normal 3 56" xfId="1662"/>
    <cellStyle name="Normal 3 57" xfId="1678"/>
    <cellStyle name="Normal 3 58" xfId="1694"/>
    <cellStyle name="Normal 3 59" xfId="1710"/>
    <cellStyle name="Normal 3 6" xfId="674"/>
    <cellStyle name="Normal 3 60" xfId="1725"/>
    <cellStyle name="Normal 3 61" xfId="1740"/>
    <cellStyle name="Normal 3 62" xfId="1755"/>
    <cellStyle name="Normal 3 63" xfId="1770"/>
    <cellStyle name="Normal 3 64" xfId="1785"/>
    <cellStyle name="Normal 3 65" xfId="1800"/>
    <cellStyle name="Normal 3 66" xfId="1815"/>
    <cellStyle name="Normal 3 67" xfId="1830"/>
    <cellStyle name="Normal 3 68" xfId="1845"/>
    <cellStyle name="Normal 3 69" xfId="1860"/>
    <cellStyle name="Normal 3 7" xfId="587"/>
    <cellStyle name="Normal 3 70" xfId="1875"/>
    <cellStyle name="Normal 3 71" xfId="1889"/>
    <cellStyle name="Normal 3 72" xfId="1902"/>
    <cellStyle name="Normal 3 73" xfId="1915"/>
    <cellStyle name="Normal 3 74" xfId="1928"/>
    <cellStyle name="Normal 3 75" xfId="1940"/>
    <cellStyle name="Normal 3 76" xfId="1952"/>
    <cellStyle name="Normal 3 77" xfId="1964"/>
    <cellStyle name="Normal 3 78" xfId="1976"/>
    <cellStyle name="Normal 3 79" xfId="1988"/>
    <cellStyle name="Normal 3 8" xfId="657"/>
    <cellStyle name="Normal 3 80" xfId="2000"/>
    <cellStyle name="Normal 3 81" xfId="2012"/>
    <cellStyle name="Normal 3 82" xfId="2024"/>
    <cellStyle name="Normal 3 83" xfId="2036"/>
    <cellStyle name="Normal 3 84" xfId="2048"/>
    <cellStyle name="Normal 3 85" xfId="2060"/>
    <cellStyle name="Normal 3 86" xfId="2072"/>
    <cellStyle name="Normal 3 87" xfId="2084"/>
    <cellStyle name="Normal 3 88" xfId="2095"/>
    <cellStyle name="Normal 3 89" xfId="2105"/>
    <cellStyle name="Normal 3 9" xfId="812"/>
    <cellStyle name="Normal 3 90" xfId="2115"/>
    <cellStyle name="Normal 30" xfId="472"/>
    <cellStyle name="Normal 30 10" xfId="856"/>
    <cellStyle name="Normal 30 11" xfId="816"/>
    <cellStyle name="Normal 30 12" xfId="546"/>
    <cellStyle name="Normal 30 13" xfId="751"/>
    <cellStyle name="Normal 30 14" xfId="777"/>
    <cellStyle name="Normal 30 15" xfId="833"/>
    <cellStyle name="Normal 30 16" xfId="739"/>
    <cellStyle name="Normal 30 17" xfId="634"/>
    <cellStyle name="Normal 30 18" xfId="762"/>
    <cellStyle name="Normal 30 19" xfId="638"/>
    <cellStyle name="Normal 30 2" xfId="531"/>
    <cellStyle name="Normal 30 20" xfId="861"/>
    <cellStyle name="Normal 30 21" xfId="1166"/>
    <cellStyle name="Normal 30 22" xfId="897"/>
    <cellStyle name="Normal 30 23" xfId="555"/>
    <cellStyle name="Normal 30 24" xfId="773"/>
    <cellStyle name="Normal 30 25" xfId="630"/>
    <cellStyle name="Normal 30 26" xfId="537"/>
    <cellStyle name="Normal 30 27" xfId="895"/>
    <cellStyle name="Normal 30 28" xfId="810"/>
    <cellStyle name="Normal 30 29" xfId="1184"/>
    <cellStyle name="Normal 30 3" xfId="868"/>
    <cellStyle name="Normal 30 30" xfId="873"/>
    <cellStyle name="Normal 30 31" xfId="659"/>
    <cellStyle name="Normal 30 32" xfId="966"/>
    <cellStyle name="Normal 30 33" xfId="794"/>
    <cellStyle name="Normal 30 34" xfId="1026"/>
    <cellStyle name="Normal 30 35" xfId="1065"/>
    <cellStyle name="Normal 30 36" xfId="1020"/>
    <cellStyle name="Normal 30 37" xfId="692"/>
    <cellStyle name="Normal 30 38" xfId="642"/>
    <cellStyle name="Normal 30 39" xfId="1165"/>
    <cellStyle name="Normal 30 4" xfId="684"/>
    <cellStyle name="Normal 30 40" xfId="891"/>
    <cellStyle name="Normal 30 41" xfId="1206"/>
    <cellStyle name="Normal 30 42" xfId="911"/>
    <cellStyle name="Normal 30 43" xfId="1455"/>
    <cellStyle name="Normal 30 44" xfId="1081"/>
    <cellStyle name="Normal 30 45" xfId="1367"/>
    <cellStyle name="Normal 30 46" xfId="1480"/>
    <cellStyle name="Normal 30 47" xfId="1317"/>
    <cellStyle name="Normal 30 48" xfId="1218"/>
    <cellStyle name="Normal 30 49" xfId="1304"/>
    <cellStyle name="Normal 30 5" xfId="862"/>
    <cellStyle name="Normal 30 50" xfId="1045"/>
    <cellStyle name="Normal 30 51" xfId="750"/>
    <cellStyle name="Normal 30 52" xfId="1473"/>
    <cellStyle name="Normal 30 53" xfId="1435"/>
    <cellStyle name="Normal 30 54" xfId="906"/>
    <cellStyle name="Normal 30 55" xfId="522"/>
    <cellStyle name="Normal 30 56" xfId="1532"/>
    <cellStyle name="Normal 30 57" xfId="1392"/>
    <cellStyle name="Normal 30 58" xfId="560"/>
    <cellStyle name="Normal 30 59" xfId="1070"/>
    <cellStyle name="Normal 30 6" xfId="709"/>
    <cellStyle name="Normal 30 60" xfId="673"/>
    <cellStyle name="Normal 30 61" xfId="1239"/>
    <cellStyle name="Normal 30 62" xfId="1573"/>
    <cellStyle name="Normal 30 63" xfId="1544"/>
    <cellStyle name="Normal 30 64" xfId="1326"/>
    <cellStyle name="Normal 30 65" xfId="1130"/>
    <cellStyle name="Normal 30 66" xfId="1114"/>
    <cellStyle name="Normal 30 67" xfId="1511"/>
    <cellStyle name="Normal 30 68" xfId="665"/>
    <cellStyle name="Normal 30 69" xfId="1088"/>
    <cellStyle name="Normal 30 7" xfId="597"/>
    <cellStyle name="Normal 30 70" xfId="1047"/>
    <cellStyle name="Normal 30 71" xfId="1463"/>
    <cellStyle name="Normal 30 72" xfId="1383"/>
    <cellStyle name="Normal 30 73" xfId="631"/>
    <cellStyle name="Normal 30 74" xfId="1421"/>
    <cellStyle name="Normal 30 75" xfId="1598"/>
    <cellStyle name="Normal 30 76" xfId="1343"/>
    <cellStyle name="Normal 30 77" xfId="1451"/>
    <cellStyle name="Normal 30 78" xfId="581"/>
    <cellStyle name="Normal 30 79" xfId="1193"/>
    <cellStyle name="Normal 30 8" xfId="621"/>
    <cellStyle name="Normal 30 80" xfId="619"/>
    <cellStyle name="Normal 30 81" xfId="554"/>
    <cellStyle name="Normal 30 82" xfId="1428"/>
    <cellStyle name="Normal 30 83" xfId="1087"/>
    <cellStyle name="Normal 30 84" xfId="1295"/>
    <cellStyle name="Normal 30 85" xfId="1471"/>
    <cellStyle name="Normal 30 86" xfId="1332"/>
    <cellStyle name="Normal 30 87" xfId="1124"/>
    <cellStyle name="Normal 30 88" xfId="1393"/>
    <cellStyle name="Normal 30 89" xfId="663"/>
    <cellStyle name="Normal 30 9" xfId="827"/>
    <cellStyle name="Normal 30 90" xfId="1593"/>
    <cellStyle name="Normal 31" xfId="468"/>
    <cellStyle name="Normal 32" xfId="469"/>
    <cellStyle name="Normal 33" xfId="2199"/>
    <cellStyle name="Normal 34" xfId="2216"/>
    <cellStyle name="Normal 35" xfId="2193"/>
    <cellStyle name="Normal 36" xfId="477"/>
    <cellStyle name="Normal 37" xfId="2187"/>
    <cellStyle name="Normal 38" xfId="2211"/>
    <cellStyle name="Normal 39" xfId="2206"/>
    <cellStyle name="Normal 4" xfId="443"/>
    <cellStyle name="Normal 40" xfId="2214"/>
    <cellStyle name="Normal 5" xfId="444"/>
    <cellStyle name="Normal 6" xfId="445"/>
    <cellStyle name="Normal 7" xfId="446"/>
    <cellStyle name="Normal 8" xfId="447"/>
    <cellStyle name="Normal 9" xfId="448"/>
    <cellStyle name="Note" xfId="15" builtinId="10" customBuiltin="1"/>
    <cellStyle name="Note 2" xfId="474"/>
    <cellStyle name="Note 2 10" xfId="857"/>
    <cellStyle name="Note 2 11" xfId="785"/>
    <cellStyle name="Note 2 12" xfId="730"/>
    <cellStyle name="Note 2 13" xfId="698"/>
    <cellStyle name="Note 2 14" xfId="731"/>
    <cellStyle name="Note 2 15" xfId="748"/>
    <cellStyle name="Note 2 16" xfId="640"/>
    <cellStyle name="Note 2 17" xfId="695"/>
    <cellStyle name="Note 2 18" xfId="759"/>
    <cellStyle name="Note 2 19" xfId="701"/>
    <cellStyle name="Note 2 2" xfId="533"/>
    <cellStyle name="Note 2 20" xfId="994"/>
    <cellStyle name="Note 2 21" xfId="1071"/>
    <cellStyle name="Note 2 22" xfId="831"/>
    <cellStyle name="Note 2 23" xfId="1168"/>
    <cellStyle name="Note 2 24" xfId="985"/>
    <cellStyle name="Note 2 25" xfId="649"/>
    <cellStyle name="Note 2 26" xfId="896"/>
    <cellStyle name="Note 2 27" xfId="685"/>
    <cellStyle name="Note 2 28" xfId="508"/>
    <cellStyle name="Note 2 29" xfId="769"/>
    <cellStyle name="Note 2 3" xfId="865"/>
    <cellStyle name="Note 2 30" xfId="999"/>
    <cellStyle name="Note 2 31" xfId="805"/>
    <cellStyle name="Note 2 32" xfId="1106"/>
    <cellStyle name="Note 2 33" xfId="1051"/>
    <cellStyle name="Note 2 34" xfId="672"/>
    <cellStyle name="Note 2 35" xfId="1172"/>
    <cellStyle name="Note 2 36" xfId="551"/>
    <cellStyle name="Note 2 37" xfId="624"/>
    <cellStyle name="Note 2 38" xfId="880"/>
    <cellStyle name="Note 2 39" xfId="662"/>
    <cellStyle name="Note 2 4" xfId="740"/>
    <cellStyle name="Note 2 40" xfId="723"/>
    <cellStyle name="Note 2 41" xfId="1103"/>
    <cellStyle name="Note 2 42" xfId="1015"/>
    <cellStyle name="Note 2 43" xfId="881"/>
    <cellStyle name="Note 2 44" xfId="500"/>
    <cellStyle name="Note 2 45" xfId="1160"/>
    <cellStyle name="Note 2 46" xfId="1098"/>
    <cellStyle name="Note 2 47" xfId="1370"/>
    <cellStyle name="Note 2 48" xfId="1489"/>
    <cellStyle name="Note 2 49" xfId="1497"/>
    <cellStyle name="Note 2 5" xfId="545"/>
    <cellStyle name="Note 2 50" xfId="1137"/>
    <cellStyle name="Note 2 51" xfId="1276"/>
    <cellStyle name="Note 2 52" xfId="1207"/>
    <cellStyle name="Note 2 53" xfId="1545"/>
    <cellStyle name="Note 2 54" xfId="1294"/>
    <cellStyle name="Note 2 55" xfId="668"/>
    <cellStyle name="Note 2 56" xfId="1154"/>
    <cellStyle name="Note 2 57" xfId="1504"/>
    <cellStyle name="Note 2 58" xfId="1225"/>
    <cellStyle name="Note 2 59" xfId="961"/>
    <cellStyle name="Note 2 6" xfId="752"/>
    <cellStyle name="Note 2 60" xfId="704"/>
    <cellStyle name="Note 2 61" xfId="1519"/>
    <cellStyle name="Note 2 62" xfId="1453"/>
    <cellStyle name="Note 2 63" xfId="737"/>
    <cellStyle name="Note 2 64" xfId="493"/>
    <cellStyle name="Note 2 65" xfId="517"/>
    <cellStyle name="Note 2 66" xfId="1089"/>
    <cellStyle name="Note 2 67" xfId="1490"/>
    <cellStyle name="Note 2 68" xfId="615"/>
    <cellStyle name="Note 2 69" xfId="1400"/>
    <cellStyle name="Note 2 7" xfId="755"/>
    <cellStyle name="Note 2 70" xfId="606"/>
    <cellStyle name="Note 2 71" xfId="1267"/>
    <cellStyle name="Note 2 72" xfId="705"/>
    <cellStyle name="Note 2 73" xfId="1470"/>
    <cellStyle name="Note 2 74" xfId="1173"/>
    <cellStyle name="Note 2 75" xfId="543"/>
    <cellStyle name="Note 2 76" xfId="589"/>
    <cellStyle name="Note 2 77" xfId="741"/>
    <cellStyle name="Note 2 78" xfId="1430"/>
    <cellStyle name="Note 2 79" xfId="1547"/>
    <cellStyle name="Note 2 8" xfId="734"/>
    <cellStyle name="Note 2 80" xfId="874"/>
    <cellStyle name="Note 2 81" xfId="1501"/>
    <cellStyle name="Note 2 82" xfId="1531"/>
    <cellStyle name="Note 2 83" xfId="1581"/>
    <cellStyle name="Note 2 84" xfId="1009"/>
    <cellStyle name="Note 2 85" xfId="1062"/>
    <cellStyle name="Note 2 86" xfId="807"/>
    <cellStyle name="Note 2 87" xfId="738"/>
    <cellStyle name="Note 2 88" xfId="1277"/>
    <cellStyle name="Note 2 89" xfId="992"/>
    <cellStyle name="Note 2 9" xfId="689"/>
    <cellStyle name="Note 2 90" xfId="1028"/>
    <cellStyle name="Note 3" xfId="471"/>
    <cellStyle name="Note 3 10" xfId="556"/>
    <cellStyle name="Note 3 11" xfId="902"/>
    <cellStyle name="Note 3 12" xfId="498"/>
    <cellStyle name="Note 3 13" xfId="910"/>
    <cellStyle name="Note 3 14" xfId="511"/>
    <cellStyle name="Note 3 15" xfId="538"/>
    <cellStyle name="Note 3 16" xfId="828"/>
    <cellStyle name="Note 3 17" xfId="823"/>
    <cellStyle name="Note 3 18" xfId="791"/>
    <cellStyle name="Note 3 19" xfId="681"/>
    <cellStyle name="Note 3 2" xfId="530"/>
    <cellStyle name="Note 3 20" xfId="713"/>
    <cellStyle name="Note 3 21" xfId="760"/>
    <cellStyle name="Note 3 22" xfId="504"/>
    <cellStyle name="Note 3 23" xfId="1132"/>
    <cellStyle name="Note 3 24" xfId="1107"/>
    <cellStyle name="Note 3 25" xfId="899"/>
    <cellStyle name="Note 3 26" xfId="722"/>
    <cellStyle name="Note 3 27" xfId="628"/>
    <cellStyle name="Note 3 28" xfId="943"/>
    <cellStyle name="Note 3 29" xfId="1182"/>
    <cellStyle name="Note 3 3" xfId="852"/>
    <cellStyle name="Note 3 30" xfId="1224"/>
    <cellStyle name="Note 3 31" xfId="846"/>
    <cellStyle name="Note 3 32" xfId="644"/>
    <cellStyle name="Note 3 33" xfId="809"/>
    <cellStyle name="Note 3 34" xfId="707"/>
    <cellStyle name="Note 3 35" xfId="1010"/>
    <cellStyle name="Note 3 36" xfId="940"/>
    <cellStyle name="Note 3 37" xfId="604"/>
    <cellStyle name="Note 3 38" xfId="1105"/>
    <cellStyle name="Note 3 39" xfId="836"/>
    <cellStyle name="Note 3 4" xfId="799"/>
    <cellStyle name="Note 3 40" xfId="693"/>
    <cellStyle name="Note 3 41" xfId="1147"/>
    <cellStyle name="Note 3 42" xfId="726"/>
    <cellStyle name="Note 3 43" xfId="814"/>
    <cellStyle name="Note 3 44" xfId="682"/>
    <cellStyle name="Note 3 45" xfId="1286"/>
    <cellStyle name="Note 3 46" xfId="1335"/>
    <cellStyle name="Note 3 47" xfId="926"/>
    <cellStyle name="Note 3 48" xfId="884"/>
    <cellStyle name="Note 3 49" xfId="1079"/>
    <cellStyle name="Note 3 5" xfId="629"/>
    <cellStyle name="Note 3 50" xfId="1466"/>
    <cellStyle name="Note 3 51" xfId="1578"/>
    <cellStyle name="Note 3 52" xfId="1348"/>
    <cellStyle name="Note 3 53" xfId="1229"/>
    <cellStyle name="Note 3 54" xfId="1600"/>
    <cellStyle name="Note 3 55" xfId="1530"/>
    <cellStyle name="Note 3 56" xfId="771"/>
    <cellStyle name="Note 3 57" xfId="720"/>
    <cellStyle name="Note 3 58" xfId="643"/>
    <cellStyle name="Note 3 59" xfId="982"/>
    <cellStyle name="Note 3 6" xfId="572"/>
    <cellStyle name="Note 3 60" xfId="1516"/>
    <cellStyle name="Note 3 61" xfId="944"/>
    <cellStyle name="Note 3 62" xfId="1558"/>
    <cellStyle name="Note 3 63" xfId="1289"/>
    <cellStyle name="Note 3 64" xfId="991"/>
    <cellStyle name="Note 3 65" xfId="1488"/>
    <cellStyle name="Note 3 66" xfId="1188"/>
    <cellStyle name="Note 3 67" xfId="1120"/>
    <cellStyle name="Note 3 68" xfId="1588"/>
    <cellStyle name="Note 3 69" xfId="1608"/>
    <cellStyle name="Note 3 7" xfId="834"/>
    <cellStyle name="Note 3 70" xfId="1624"/>
    <cellStyle name="Note 3 71" xfId="1640"/>
    <cellStyle name="Note 3 72" xfId="1656"/>
    <cellStyle name="Note 3 73" xfId="1672"/>
    <cellStyle name="Note 3 74" xfId="1688"/>
    <cellStyle name="Note 3 75" xfId="1704"/>
    <cellStyle name="Note 3 76" xfId="1719"/>
    <cellStyle name="Note 3 77" xfId="1734"/>
    <cellStyle name="Note 3 78" xfId="1749"/>
    <cellStyle name="Note 3 79" xfId="1764"/>
    <cellStyle name="Note 3 8" xfId="696"/>
    <cellStyle name="Note 3 80" xfId="1779"/>
    <cellStyle name="Note 3 81" xfId="1794"/>
    <cellStyle name="Note 3 82" xfId="1809"/>
    <cellStyle name="Note 3 83" xfId="1824"/>
    <cellStyle name="Note 3 84" xfId="1839"/>
    <cellStyle name="Note 3 85" xfId="1854"/>
    <cellStyle name="Note 3 86" xfId="1869"/>
    <cellStyle name="Note 3 87" xfId="1884"/>
    <cellStyle name="Note 3 88" xfId="1897"/>
    <cellStyle name="Note 3 89" xfId="1910"/>
    <cellStyle name="Note 3 9" xfId="729"/>
    <cellStyle name="Note 3 90" xfId="1923"/>
    <cellStyle name="Note 4" xfId="492"/>
    <cellStyle name="Note 4 10" xfId="1077"/>
    <cellStyle name="Note 4 11" xfId="1095"/>
    <cellStyle name="Note 4 12" xfId="1111"/>
    <cellStyle name="Note 4 13" xfId="1128"/>
    <cellStyle name="Note 4 14" xfId="1145"/>
    <cellStyle name="Note 4 15" xfId="1164"/>
    <cellStyle name="Note 4 16" xfId="1181"/>
    <cellStyle name="Note 4 17" xfId="1198"/>
    <cellStyle name="Note 4 18" xfId="1212"/>
    <cellStyle name="Note 4 19" xfId="1228"/>
    <cellStyle name="Note 4 2" xfId="933"/>
    <cellStyle name="Note 4 20" xfId="1249"/>
    <cellStyle name="Note 4 21" xfId="1265"/>
    <cellStyle name="Note 4 22" xfId="1284"/>
    <cellStyle name="Note 4 23" xfId="1302"/>
    <cellStyle name="Note 4 24" xfId="1321"/>
    <cellStyle name="Note 4 25" xfId="1339"/>
    <cellStyle name="Note 4 26" xfId="1356"/>
    <cellStyle name="Note 4 27" xfId="1374"/>
    <cellStyle name="Note 4 28" xfId="1390"/>
    <cellStyle name="Note 4 29" xfId="1407"/>
    <cellStyle name="Note 4 3" xfId="952"/>
    <cellStyle name="Note 4 30" xfId="1425"/>
    <cellStyle name="Note 4 31" xfId="1443"/>
    <cellStyle name="Note 4 32" xfId="1460"/>
    <cellStyle name="Note 4 33" xfId="1478"/>
    <cellStyle name="Note 4 34" xfId="1494"/>
    <cellStyle name="Note 4 35" xfId="1508"/>
    <cellStyle name="Note 4 36" xfId="1523"/>
    <cellStyle name="Note 4 37" xfId="1538"/>
    <cellStyle name="Note 4 38" xfId="1554"/>
    <cellStyle name="Note 4 39" xfId="1569"/>
    <cellStyle name="Note 4 4" xfId="970"/>
    <cellStyle name="Note 4 40" xfId="1585"/>
    <cellStyle name="Note 4 41" xfId="1602"/>
    <cellStyle name="Note 4 42" xfId="1619"/>
    <cellStyle name="Note 4 43" xfId="1635"/>
    <cellStyle name="Note 4 44" xfId="1651"/>
    <cellStyle name="Note 4 45" xfId="1667"/>
    <cellStyle name="Note 4 46" xfId="1683"/>
    <cellStyle name="Note 4 47" xfId="1699"/>
    <cellStyle name="Note 4 48" xfId="1715"/>
    <cellStyle name="Note 4 49" xfId="1730"/>
    <cellStyle name="Note 4 5" xfId="989"/>
    <cellStyle name="Note 4 50" xfId="1745"/>
    <cellStyle name="Note 4 51" xfId="1760"/>
    <cellStyle name="Note 4 52" xfId="1775"/>
    <cellStyle name="Note 4 53" xfId="1790"/>
    <cellStyle name="Note 4 54" xfId="1805"/>
    <cellStyle name="Note 4 55" xfId="1820"/>
    <cellStyle name="Note 4 56" xfId="1835"/>
    <cellStyle name="Note 4 57" xfId="1850"/>
    <cellStyle name="Note 4 58" xfId="1865"/>
    <cellStyle name="Note 4 59" xfId="1880"/>
    <cellStyle name="Note 4 6" xfId="1006"/>
    <cellStyle name="Note 4 60" xfId="1893"/>
    <cellStyle name="Note 4 61" xfId="1906"/>
    <cellStyle name="Note 4 62" xfId="1919"/>
    <cellStyle name="Note 4 63" xfId="1932"/>
    <cellStyle name="Note 4 64" xfId="1944"/>
    <cellStyle name="Note 4 65" xfId="1956"/>
    <cellStyle name="Note 4 66" xfId="1968"/>
    <cellStyle name="Note 4 67" xfId="1980"/>
    <cellStyle name="Note 4 68" xfId="1992"/>
    <cellStyle name="Note 4 69" xfId="2004"/>
    <cellStyle name="Note 4 7" xfId="1024"/>
    <cellStyle name="Note 4 70" xfId="2016"/>
    <cellStyle name="Note 4 71" xfId="2028"/>
    <cellStyle name="Note 4 72" xfId="2040"/>
    <cellStyle name="Note 4 73" xfId="2052"/>
    <cellStyle name="Note 4 74" xfId="2064"/>
    <cellStyle name="Note 4 75" xfId="2076"/>
    <cellStyle name="Note 4 76" xfId="2088"/>
    <cellStyle name="Note 4 77" xfId="2099"/>
    <cellStyle name="Note 4 78" xfId="2109"/>
    <cellStyle name="Note 4 79" xfId="2119"/>
    <cellStyle name="Note 4 8" xfId="1041"/>
    <cellStyle name="Note 4 80" xfId="2127"/>
    <cellStyle name="Note 4 81" xfId="2134"/>
    <cellStyle name="Note 4 82" xfId="2141"/>
    <cellStyle name="Note 4 83" xfId="2148"/>
    <cellStyle name="Note 4 84" xfId="2155"/>
    <cellStyle name="Note 4 85" xfId="2162"/>
    <cellStyle name="Note 4 86" xfId="2167"/>
    <cellStyle name="Note 4 87" xfId="2172"/>
    <cellStyle name="Note 4 88" xfId="2177"/>
    <cellStyle name="Note 4 89" xfId="2182"/>
    <cellStyle name="Note 4 9" xfId="1059"/>
    <cellStyle name="Note 4 90" xfId="2183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7"/>
  <sheetViews>
    <sheetView topLeftCell="G1" workbookViewId="0">
      <selection activeCell="X13" sqref="X13:AB23"/>
    </sheetView>
  </sheetViews>
  <sheetFormatPr defaultRowHeight="15"/>
  <cols>
    <col min="1" max="1" width="12.28515625" style="357" customWidth="1"/>
    <col min="2" max="2" width="9.5703125" style="357" customWidth="1"/>
    <col min="3" max="3" width="23.42578125" style="357" customWidth="1"/>
    <col min="4" max="4" width="24" style="357" customWidth="1"/>
    <col min="5" max="8" width="11.7109375" style="357" customWidth="1"/>
    <col min="9" max="9" width="2.7109375" style="333" customWidth="1"/>
    <col min="10" max="10" width="10.42578125" style="333" customWidth="1"/>
    <col min="11" max="11" width="3" style="357" customWidth="1"/>
    <col min="12" max="12" width="14.140625" style="357" customWidth="1"/>
    <col min="13" max="13" width="9.140625" style="357" customWidth="1"/>
    <col min="14" max="14" width="23.42578125" style="357" customWidth="1"/>
    <col min="15" max="15" width="24" style="357" customWidth="1"/>
    <col min="16" max="22" width="11.7109375" style="357" customWidth="1"/>
    <col min="23" max="23" width="2.7109375" style="357" customWidth="1"/>
    <col min="24" max="27" width="9.140625" style="357"/>
    <col min="28" max="28" width="13.5703125" customWidth="1"/>
    <col min="29" max="29" width="14.28515625" customWidth="1"/>
  </cols>
  <sheetData>
    <row r="1" spans="1:28">
      <c r="A1" s="342" t="s">
        <v>281</v>
      </c>
      <c r="B1" s="343"/>
      <c r="C1" s="343"/>
      <c r="D1" s="343"/>
      <c r="E1" s="343"/>
      <c r="F1" s="343"/>
      <c r="G1" s="343"/>
      <c r="H1" s="343"/>
      <c r="I1" s="330"/>
      <c r="J1" s="330"/>
      <c r="K1" s="343"/>
      <c r="L1" s="343"/>
      <c r="M1" s="343"/>
      <c r="N1" s="343"/>
      <c r="O1" s="343"/>
      <c r="P1" s="343"/>
    </row>
    <row r="3" spans="1:28" s="325" customFormat="1">
      <c r="A3" s="403" t="s">
        <v>133</v>
      </c>
      <c r="B3" s="403"/>
      <c r="C3" s="403"/>
      <c r="D3" s="403"/>
      <c r="E3" s="403"/>
      <c r="F3" s="403"/>
      <c r="G3" s="403"/>
      <c r="H3" s="403"/>
      <c r="I3" s="357"/>
      <c r="J3" s="357"/>
      <c r="K3" s="357"/>
      <c r="L3" s="404" t="s">
        <v>134</v>
      </c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357"/>
      <c r="X3" s="357"/>
      <c r="Y3" s="357"/>
      <c r="Z3" s="357"/>
      <c r="AA3" s="357"/>
    </row>
    <row r="4" spans="1:28" s="325" customFormat="1" ht="30">
      <c r="A4" s="356" t="s">
        <v>105</v>
      </c>
      <c r="B4" s="358" t="s">
        <v>75</v>
      </c>
      <c r="C4" s="356" t="s">
        <v>106</v>
      </c>
      <c r="D4" s="356" t="s">
        <v>107</v>
      </c>
      <c r="E4" s="356" t="s">
        <v>116</v>
      </c>
      <c r="F4" s="356" t="s">
        <v>117</v>
      </c>
      <c r="G4" s="356" t="s">
        <v>118</v>
      </c>
      <c r="H4" s="356" t="s">
        <v>119</v>
      </c>
      <c r="I4" s="357"/>
      <c r="J4" s="356" t="s">
        <v>120</v>
      </c>
      <c r="K4" s="357"/>
      <c r="L4" s="356" t="s">
        <v>105</v>
      </c>
      <c r="M4" s="356" t="s">
        <v>75</v>
      </c>
      <c r="N4" s="356" t="s">
        <v>106</v>
      </c>
      <c r="O4" s="356" t="s">
        <v>107</v>
      </c>
      <c r="P4" s="356" t="s">
        <v>116</v>
      </c>
      <c r="Q4" s="356" t="s">
        <v>117</v>
      </c>
      <c r="R4" s="356" t="s">
        <v>118</v>
      </c>
      <c r="S4" s="356" t="s">
        <v>119</v>
      </c>
      <c r="T4" s="356" t="s">
        <v>135</v>
      </c>
      <c r="U4" s="356" t="s">
        <v>136</v>
      </c>
      <c r="V4" s="356" t="s">
        <v>137</v>
      </c>
      <c r="W4" s="357"/>
      <c r="X4" s="357"/>
      <c r="Y4" s="357"/>
      <c r="Z4" s="357"/>
      <c r="AA4" s="357"/>
    </row>
    <row r="5" spans="1:28" s="325" customFormat="1">
      <c r="A5" s="308">
        <v>42101</v>
      </c>
      <c r="B5" s="358">
        <v>4</v>
      </c>
      <c r="C5" s="356" t="s">
        <v>121</v>
      </c>
      <c r="D5" s="356" t="s">
        <v>127</v>
      </c>
      <c r="E5" s="356">
        <v>0</v>
      </c>
      <c r="F5" s="356">
        <v>0</v>
      </c>
      <c r="G5" s="356">
        <v>0</v>
      </c>
      <c r="H5" s="356">
        <v>0</v>
      </c>
      <c r="I5" s="357"/>
      <c r="J5" s="315">
        <f t="shared" ref="J5:J10" si="0">E5/B5</f>
        <v>0</v>
      </c>
      <c r="K5" s="357"/>
      <c r="L5" s="308">
        <v>42101</v>
      </c>
      <c r="M5" s="358">
        <v>4</v>
      </c>
      <c r="N5" s="356" t="s">
        <v>121</v>
      </c>
      <c r="O5" s="356" t="s">
        <v>127</v>
      </c>
      <c r="P5" s="356">
        <v>0</v>
      </c>
      <c r="Q5" s="316">
        <f>((J5*8.34*255)*M5)/2000</f>
        <v>0</v>
      </c>
      <c r="R5" s="316">
        <f>((J5*8.34*260)*M5)/2000</f>
        <v>0</v>
      </c>
      <c r="S5" s="316">
        <f>((J5*8.34*40)*M5)/2000</f>
        <v>0</v>
      </c>
      <c r="T5" s="360">
        <f t="shared" ref="T5:T10" si="1">Q5-F5</f>
        <v>0</v>
      </c>
      <c r="U5" s="360">
        <f t="shared" ref="U5:U10" si="2">R5-G5</f>
        <v>0</v>
      </c>
      <c r="V5" s="360">
        <f t="shared" ref="V5:V10" si="3">S5-H5</f>
        <v>0</v>
      </c>
      <c r="W5" s="357"/>
      <c r="X5" s="357"/>
      <c r="Y5" s="357"/>
      <c r="Z5" s="357"/>
      <c r="AA5" s="357"/>
    </row>
    <row r="6" spans="1:28" s="325" customFormat="1">
      <c r="A6" s="308">
        <v>42146</v>
      </c>
      <c r="B6" s="358">
        <v>63</v>
      </c>
      <c r="C6" s="356" t="s">
        <v>122</v>
      </c>
      <c r="D6" s="356" t="s">
        <v>128</v>
      </c>
      <c r="E6" s="356">
        <v>4.1500000000000004</v>
      </c>
      <c r="F6" s="356">
        <v>4.41</v>
      </c>
      <c r="G6" s="356">
        <v>4.5</v>
      </c>
      <c r="H6" s="356">
        <v>0.69</v>
      </c>
      <c r="I6" s="357"/>
      <c r="J6" s="315">
        <f t="shared" si="0"/>
        <v>6.5873015873015875E-2</v>
      </c>
      <c r="K6" s="357"/>
      <c r="L6" s="308">
        <v>42146</v>
      </c>
      <c r="M6" s="358">
        <v>63</v>
      </c>
      <c r="N6" s="356" t="s">
        <v>122</v>
      </c>
      <c r="O6" s="356" t="s">
        <v>128</v>
      </c>
      <c r="P6" s="356">
        <v>4.1500000000000004</v>
      </c>
      <c r="Q6" s="316">
        <f>((J6*8.34*255)*M6)/2000</f>
        <v>4.4129025000000004</v>
      </c>
      <c r="R6" s="316">
        <f>((J6*8.34*260)*M6)/2000</f>
        <v>4.4994300000000003</v>
      </c>
      <c r="S6" s="316">
        <f>((J6*8.34*40)*M6)/2000</f>
        <v>0.69222000000000006</v>
      </c>
      <c r="T6" s="360">
        <f t="shared" si="1"/>
        <v>2.9025000000002521E-3</v>
      </c>
      <c r="U6" s="360">
        <f t="shared" si="2"/>
        <v>-5.6999999999973738E-4</v>
      </c>
      <c r="V6" s="360">
        <f t="shared" si="3"/>
        <v>2.2200000000001108E-3</v>
      </c>
      <c r="W6" s="357"/>
      <c r="X6" s="357"/>
      <c r="Y6" s="357"/>
      <c r="Z6" s="357"/>
      <c r="AA6" s="357"/>
    </row>
    <row r="7" spans="1:28" s="325" customFormat="1">
      <c r="A7" s="308">
        <v>42233</v>
      </c>
      <c r="B7" s="358">
        <v>69</v>
      </c>
      <c r="C7" s="356" t="s">
        <v>123</v>
      </c>
      <c r="D7" s="356" t="s">
        <v>129</v>
      </c>
      <c r="E7" s="356">
        <v>2.72</v>
      </c>
      <c r="F7" s="358">
        <v>2.9</v>
      </c>
      <c r="G7" s="358">
        <v>2.95</v>
      </c>
      <c r="H7" s="356">
        <v>0.45</v>
      </c>
      <c r="I7" s="357"/>
      <c r="J7" s="315">
        <f t="shared" si="0"/>
        <v>3.9420289855072468E-2</v>
      </c>
      <c r="K7" s="357"/>
      <c r="L7" s="308">
        <v>42233</v>
      </c>
      <c r="M7" s="358">
        <v>69</v>
      </c>
      <c r="N7" s="356" t="s">
        <v>123</v>
      </c>
      <c r="O7" s="356" t="s">
        <v>129</v>
      </c>
      <c r="P7" s="356">
        <v>2.72</v>
      </c>
      <c r="Q7" s="316">
        <f t="shared" ref="Q7:Q10" si="4">((J7*8.34*255)*M7)/2000</f>
        <v>2.8923120000000004</v>
      </c>
      <c r="R7" s="316">
        <f t="shared" ref="R7:R10" si="5">((J7*8.34*260)*M7)/2000</f>
        <v>2.9490240000000005</v>
      </c>
      <c r="S7" s="316">
        <f t="shared" ref="S7:S10" si="6">((J7*8.34*40)*M7)/2000</f>
        <v>0.45369600000000004</v>
      </c>
      <c r="T7" s="317">
        <f t="shared" si="1"/>
        <v>-7.687999999999473E-3</v>
      </c>
      <c r="U7" s="360">
        <f t="shared" si="2"/>
        <v>-9.7599999999964382E-4</v>
      </c>
      <c r="V7" s="360">
        <f t="shared" si="3"/>
        <v>3.6960000000000326E-3</v>
      </c>
      <c r="W7" s="357"/>
      <c r="X7" s="357"/>
      <c r="Y7" s="357"/>
      <c r="Z7" s="357"/>
      <c r="AA7" s="357"/>
    </row>
    <row r="8" spans="1:28" s="325" customFormat="1">
      <c r="A8" s="308">
        <v>42290</v>
      </c>
      <c r="B8" s="358">
        <v>73</v>
      </c>
      <c r="C8" s="356" t="s">
        <v>124</v>
      </c>
      <c r="D8" s="356" t="s">
        <v>130</v>
      </c>
      <c r="E8" s="356">
        <v>2.85</v>
      </c>
      <c r="F8" s="356">
        <v>3.03</v>
      </c>
      <c r="G8" s="356">
        <v>3.09</v>
      </c>
      <c r="H8" s="356">
        <v>0.47</v>
      </c>
      <c r="I8" s="357"/>
      <c r="J8" s="315">
        <f t="shared" si="0"/>
        <v>3.9041095890410958E-2</v>
      </c>
      <c r="K8" s="357"/>
      <c r="L8" s="308">
        <v>42290</v>
      </c>
      <c r="M8" s="358">
        <v>73</v>
      </c>
      <c r="N8" s="356" t="s">
        <v>124</v>
      </c>
      <c r="O8" s="356" t="s">
        <v>130</v>
      </c>
      <c r="P8" s="356">
        <v>2.85</v>
      </c>
      <c r="Q8" s="316">
        <f t="shared" si="4"/>
        <v>3.0305474999999999</v>
      </c>
      <c r="R8" s="316">
        <f t="shared" si="5"/>
        <v>3.0899699999999997</v>
      </c>
      <c r="S8" s="316">
        <f t="shared" si="6"/>
        <v>0.47537999999999997</v>
      </c>
      <c r="T8" s="360">
        <f t="shared" si="1"/>
        <v>5.4750000000014509E-4</v>
      </c>
      <c r="U8" s="360">
        <f t="shared" si="2"/>
        <v>-3.0000000000196536E-5</v>
      </c>
      <c r="V8" s="317">
        <f t="shared" si="3"/>
        <v>5.3799999999999959E-3</v>
      </c>
      <c r="W8" s="357"/>
      <c r="X8" s="357"/>
      <c r="Y8" s="357"/>
      <c r="Z8" s="357"/>
      <c r="AA8" s="357"/>
    </row>
    <row r="9" spans="1:28" s="325" customFormat="1">
      <c r="A9" s="308">
        <v>42356</v>
      </c>
      <c r="B9" s="358">
        <v>57</v>
      </c>
      <c r="C9" s="356" t="s">
        <v>125</v>
      </c>
      <c r="D9" s="356" t="s">
        <v>131</v>
      </c>
      <c r="E9" s="356">
        <v>1.6</v>
      </c>
      <c r="F9" s="356">
        <v>1.7</v>
      </c>
      <c r="G9" s="356">
        <v>1.73</v>
      </c>
      <c r="H9" s="356">
        <v>0.27</v>
      </c>
      <c r="I9" s="357"/>
      <c r="J9" s="315">
        <f t="shared" si="0"/>
        <v>2.8070175438596492E-2</v>
      </c>
      <c r="K9" s="357"/>
      <c r="L9" s="308">
        <v>42356</v>
      </c>
      <c r="M9" s="358">
        <v>57</v>
      </c>
      <c r="N9" s="356" t="s">
        <v>125</v>
      </c>
      <c r="O9" s="356" t="s">
        <v>131</v>
      </c>
      <c r="P9" s="356">
        <v>1.6</v>
      </c>
      <c r="Q9" s="316">
        <f t="shared" si="4"/>
        <v>1.7013600000000002</v>
      </c>
      <c r="R9" s="316">
        <f t="shared" si="5"/>
        <v>1.73472</v>
      </c>
      <c r="S9" s="316">
        <f t="shared" si="6"/>
        <v>0.26688000000000001</v>
      </c>
      <c r="T9" s="360">
        <f t="shared" si="1"/>
        <v>1.3600000000002499E-3</v>
      </c>
      <c r="U9" s="360">
        <f t="shared" si="2"/>
        <v>4.7200000000000575E-3</v>
      </c>
      <c r="V9" s="360">
        <f t="shared" si="3"/>
        <v>-3.1200000000000117E-3</v>
      </c>
      <c r="W9" s="357"/>
      <c r="X9" s="357"/>
      <c r="Y9" s="357"/>
      <c r="Z9" s="357"/>
      <c r="AA9" s="357"/>
    </row>
    <row r="10" spans="1:28" s="325" customFormat="1">
      <c r="A10" s="308">
        <v>42402</v>
      </c>
      <c r="B10" s="358">
        <v>79</v>
      </c>
      <c r="C10" s="356" t="s">
        <v>126</v>
      </c>
      <c r="D10" s="356" t="s">
        <v>132</v>
      </c>
      <c r="E10" s="356">
        <v>2.69</v>
      </c>
      <c r="F10" s="356">
        <v>2.86</v>
      </c>
      <c r="G10" s="356">
        <v>2.91</v>
      </c>
      <c r="H10" s="356">
        <v>0.45</v>
      </c>
      <c r="I10" s="357"/>
      <c r="J10" s="315">
        <f t="shared" si="0"/>
        <v>3.4050632911392403E-2</v>
      </c>
      <c r="K10" s="357"/>
      <c r="L10" s="308">
        <v>42402</v>
      </c>
      <c r="M10" s="358">
        <v>79</v>
      </c>
      <c r="N10" s="356" t="s">
        <v>126</v>
      </c>
      <c r="O10" s="356" t="s">
        <v>132</v>
      </c>
      <c r="P10" s="356">
        <v>2.69</v>
      </c>
      <c r="Q10" s="316">
        <f t="shared" si="4"/>
        <v>2.8604114999999997</v>
      </c>
      <c r="R10" s="316">
        <f t="shared" si="5"/>
        <v>2.9164980000000003</v>
      </c>
      <c r="S10" s="316">
        <f t="shared" si="6"/>
        <v>0.44869199999999998</v>
      </c>
      <c r="T10" s="360">
        <f t="shared" si="1"/>
        <v>4.1149999999978704E-4</v>
      </c>
      <c r="U10" s="317">
        <f t="shared" si="2"/>
        <v>6.4980000000001148E-3</v>
      </c>
      <c r="V10" s="360">
        <f t="shared" si="3"/>
        <v>-1.3080000000000314E-3</v>
      </c>
      <c r="W10" s="357"/>
      <c r="X10" s="357"/>
      <c r="Y10" s="357"/>
      <c r="Z10" s="357"/>
      <c r="AA10" s="357"/>
    </row>
    <row r="11" spans="1:28" s="337" customFormat="1">
      <c r="A11" s="354"/>
      <c r="B11" s="328"/>
      <c r="C11" s="310"/>
      <c r="D11" s="310"/>
      <c r="E11" s="310"/>
      <c r="F11" s="310"/>
      <c r="G11" s="310"/>
      <c r="H11" s="310"/>
      <c r="I11" s="357"/>
      <c r="J11" s="314"/>
      <c r="K11" s="357"/>
      <c r="L11" s="354"/>
      <c r="M11" s="328"/>
      <c r="N11" s="310"/>
      <c r="O11" s="310"/>
      <c r="P11" s="310"/>
      <c r="Q11" s="327"/>
      <c r="R11" s="327"/>
      <c r="S11" s="327"/>
      <c r="T11" s="340"/>
      <c r="U11" s="334"/>
      <c r="V11" s="340"/>
      <c r="W11" s="357"/>
      <c r="X11" s="357"/>
      <c r="Y11" s="357"/>
      <c r="Z11" s="357"/>
      <c r="AA11" s="357"/>
    </row>
    <row r="12" spans="1:28" s="325" customFormat="1" ht="15.75" thickBot="1">
      <c r="A12" s="357"/>
      <c r="B12" s="357"/>
      <c r="C12" s="357"/>
      <c r="D12" s="357"/>
      <c r="E12" s="357"/>
      <c r="F12" s="357"/>
      <c r="G12" s="357"/>
      <c r="H12" s="357"/>
      <c r="I12" s="333"/>
      <c r="J12" s="333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</row>
    <row r="13" spans="1:28" s="325" customFormat="1">
      <c r="A13" s="357"/>
      <c r="B13" s="357"/>
      <c r="C13" s="357"/>
      <c r="D13" s="357"/>
      <c r="E13" s="357"/>
      <c r="F13" s="357"/>
      <c r="G13" s="357"/>
      <c r="H13" s="357"/>
      <c r="I13" s="333"/>
      <c r="J13" s="333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400" t="s">
        <v>279</v>
      </c>
      <c r="Y13" s="401"/>
      <c r="Z13" s="401"/>
      <c r="AA13" s="401"/>
      <c r="AB13" s="402"/>
    </row>
    <row r="14" spans="1:28" s="325" customFormat="1">
      <c r="A14" s="403" t="s">
        <v>199</v>
      </c>
      <c r="B14" s="403"/>
      <c r="C14" s="403"/>
      <c r="D14" s="403"/>
      <c r="E14" s="403"/>
      <c r="F14" s="403"/>
      <c r="G14" s="403"/>
      <c r="H14" s="403"/>
      <c r="I14" s="357"/>
      <c r="J14" s="357"/>
      <c r="K14" s="357"/>
      <c r="L14" s="404" t="s">
        <v>134</v>
      </c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357"/>
      <c r="X14" s="352"/>
      <c r="Y14" s="365" t="s">
        <v>241</v>
      </c>
      <c r="Z14" s="365" t="s">
        <v>242</v>
      </c>
      <c r="AA14" s="365" t="s">
        <v>243</v>
      </c>
      <c r="AB14" s="348"/>
    </row>
    <row r="15" spans="1:28" s="325" customFormat="1" ht="30.75" thickBot="1">
      <c r="A15" s="356" t="s">
        <v>105</v>
      </c>
      <c r="B15" s="358" t="s">
        <v>75</v>
      </c>
      <c r="C15" s="356" t="s">
        <v>106</v>
      </c>
      <c r="D15" s="356" t="s">
        <v>107</v>
      </c>
      <c r="E15" s="356" t="s">
        <v>116</v>
      </c>
      <c r="F15" s="356" t="s">
        <v>117</v>
      </c>
      <c r="G15" s="356" t="s">
        <v>118</v>
      </c>
      <c r="H15" s="356" t="s">
        <v>119</v>
      </c>
      <c r="I15" s="357"/>
      <c r="J15" s="356" t="s">
        <v>120</v>
      </c>
      <c r="K15" s="357"/>
      <c r="L15" s="356" t="s">
        <v>105</v>
      </c>
      <c r="M15" s="356" t="s">
        <v>75</v>
      </c>
      <c r="N15" s="356" t="s">
        <v>106</v>
      </c>
      <c r="O15" s="356" t="s">
        <v>107</v>
      </c>
      <c r="P15" s="356" t="s">
        <v>116</v>
      </c>
      <c r="Q15" s="356" t="s">
        <v>117</v>
      </c>
      <c r="R15" s="356" t="s">
        <v>118</v>
      </c>
      <c r="S15" s="356" t="s">
        <v>119</v>
      </c>
      <c r="T15" s="356" t="s">
        <v>135</v>
      </c>
      <c r="U15" s="356" t="s">
        <v>136</v>
      </c>
      <c r="V15" s="356" t="s">
        <v>137</v>
      </c>
      <c r="W15" s="357"/>
      <c r="X15" s="344" t="s">
        <v>240</v>
      </c>
      <c r="Y15" s="336">
        <v>514.42999999999995</v>
      </c>
      <c r="Z15" s="336">
        <v>744.33</v>
      </c>
      <c r="AA15" s="336">
        <v>1203.97</v>
      </c>
      <c r="AB15" s="329" t="s">
        <v>280</v>
      </c>
    </row>
    <row r="16" spans="1:28" s="325" customFormat="1">
      <c r="A16" s="308">
        <v>42461</v>
      </c>
      <c r="B16" s="358">
        <v>3</v>
      </c>
      <c r="C16" s="356" t="s">
        <v>202</v>
      </c>
      <c r="D16" s="356" t="s">
        <v>209</v>
      </c>
      <c r="E16" s="356">
        <v>0</v>
      </c>
      <c r="F16" s="356">
        <v>0</v>
      </c>
      <c r="G16" s="356">
        <v>0</v>
      </c>
      <c r="H16" s="356">
        <v>0</v>
      </c>
      <c r="I16" s="333"/>
      <c r="J16" s="315">
        <f t="shared" ref="J16:J22" si="7">E16/B16</f>
        <v>0</v>
      </c>
      <c r="K16" s="357"/>
      <c r="L16" s="308">
        <v>42461</v>
      </c>
      <c r="M16" s="358">
        <v>3</v>
      </c>
      <c r="N16" s="356" t="s">
        <v>202</v>
      </c>
      <c r="O16" s="356" t="s">
        <v>209</v>
      </c>
      <c r="P16" s="356">
        <v>0</v>
      </c>
      <c r="Q16" s="316">
        <f t="shared" ref="Q16:Q22" si="8">((J16*8.34*255)*M16)/2000</f>
        <v>0</v>
      </c>
      <c r="R16" s="316">
        <f t="shared" ref="R16:R22" si="9">((J16*8.34*260)*M16)/2000</f>
        <v>0</v>
      </c>
      <c r="S16" s="316">
        <f t="shared" ref="S16:S22" si="10">((J16*8.34*40)*M16)/2000</f>
        <v>0</v>
      </c>
      <c r="T16" s="360">
        <f t="shared" ref="T16:T22" si="11">Q16-F16</f>
        <v>0</v>
      </c>
      <c r="U16" s="360">
        <f t="shared" ref="U16:U22" si="12">R16-G16</f>
        <v>0</v>
      </c>
      <c r="V16" s="360">
        <f t="shared" ref="V16:V22" si="13">S16-H16</f>
        <v>0</v>
      </c>
      <c r="W16" s="357"/>
      <c r="X16" s="366"/>
      <c r="Y16" s="347">
        <f>T16*Y15</f>
        <v>0</v>
      </c>
      <c r="Z16" s="347">
        <f>U16*Z15</f>
        <v>0</v>
      </c>
      <c r="AA16" s="347">
        <f>V16*AA15</f>
        <v>0</v>
      </c>
      <c r="AB16" s="326">
        <f>SUM(Y16:AA16)</f>
        <v>0</v>
      </c>
    </row>
    <row r="17" spans="1:28">
      <c r="A17" s="308">
        <v>42508</v>
      </c>
      <c r="B17" s="358">
        <v>83</v>
      </c>
      <c r="C17" s="356" t="s">
        <v>203</v>
      </c>
      <c r="D17" s="356" t="s">
        <v>210</v>
      </c>
      <c r="E17" s="356">
        <v>4.4000000000000004</v>
      </c>
      <c r="F17" s="356">
        <v>4.67</v>
      </c>
      <c r="G17" s="356">
        <v>4.7699999999999996</v>
      </c>
      <c r="H17" s="356">
        <v>0.73</v>
      </c>
      <c r="J17" s="315">
        <f t="shared" si="7"/>
        <v>5.301204819277109E-2</v>
      </c>
      <c r="L17" s="308">
        <v>42508</v>
      </c>
      <c r="M17" s="358">
        <v>83</v>
      </c>
      <c r="N17" s="356" t="s">
        <v>203</v>
      </c>
      <c r="O17" s="356" t="s">
        <v>210</v>
      </c>
      <c r="P17" s="356">
        <v>4.4000000000000004</v>
      </c>
      <c r="Q17" s="316">
        <f t="shared" si="8"/>
        <v>4.6787399999999995</v>
      </c>
      <c r="R17" s="316">
        <f t="shared" si="9"/>
        <v>4.7704799999999992</v>
      </c>
      <c r="S17" s="316">
        <f t="shared" si="10"/>
        <v>0.73392000000000013</v>
      </c>
      <c r="T17" s="317">
        <f t="shared" si="11"/>
        <v>8.7399999999995259E-3</v>
      </c>
      <c r="U17" s="360">
        <f t="shared" si="12"/>
        <v>4.7999999999959186E-4</v>
      </c>
      <c r="V17" s="360">
        <f t="shared" si="13"/>
        <v>3.9200000000001456E-3</v>
      </c>
      <c r="X17" s="363"/>
      <c r="Y17" s="323">
        <f>T17*Y15</f>
        <v>4.4961181999997555</v>
      </c>
      <c r="Z17" s="323">
        <v>0</v>
      </c>
      <c r="AA17" s="323">
        <v>0</v>
      </c>
      <c r="AB17" s="320">
        <f>SUM(Y17:AA17)</f>
        <v>4.4961181999997555</v>
      </c>
    </row>
    <row r="18" spans="1:28">
      <c r="A18" s="308">
        <v>42564</v>
      </c>
      <c r="B18" s="358">
        <v>58</v>
      </c>
      <c r="C18" s="356" t="s">
        <v>204</v>
      </c>
      <c r="D18" s="356" t="s">
        <v>211</v>
      </c>
      <c r="E18" s="356">
        <v>1.85</v>
      </c>
      <c r="F18" s="356">
        <v>1.97</v>
      </c>
      <c r="G18" s="356">
        <v>2</v>
      </c>
      <c r="H18" s="356">
        <v>0.31</v>
      </c>
      <c r="J18" s="315">
        <f t="shared" si="7"/>
        <v>3.1896551724137932E-2</v>
      </c>
      <c r="L18" s="308">
        <v>42564</v>
      </c>
      <c r="M18" s="358">
        <v>58</v>
      </c>
      <c r="N18" s="356" t="s">
        <v>204</v>
      </c>
      <c r="O18" s="356" t="s">
        <v>211</v>
      </c>
      <c r="P18" s="356">
        <v>1.85</v>
      </c>
      <c r="Q18" s="316">
        <f t="shared" si="8"/>
        <v>1.9671974999999999</v>
      </c>
      <c r="R18" s="316">
        <f t="shared" si="9"/>
        <v>2.0057700000000001</v>
      </c>
      <c r="S18" s="316">
        <f t="shared" si="10"/>
        <v>0.30858000000000002</v>
      </c>
      <c r="T18" s="360">
        <f t="shared" si="11"/>
        <v>-2.8025000000000411E-3</v>
      </c>
      <c r="U18" s="317">
        <f t="shared" si="12"/>
        <v>5.7700000000000529E-3</v>
      </c>
      <c r="V18" s="360">
        <f t="shared" si="13"/>
        <v>-1.4199999999999768E-3</v>
      </c>
      <c r="X18" s="363"/>
      <c r="Y18" s="323">
        <v>0</v>
      </c>
      <c r="Z18" s="323">
        <f>U18*Z15</f>
        <v>4.2947841000000393</v>
      </c>
      <c r="AA18" s="323">
        <v>0</v>
      </c>
      <c r="AB18" s="320">
        <f t="shared" ref="AB18:AB22" si="14">SUM(Y18:AA18)</f>
        <v>4.2947841000000393</v>
      </c>
    </row>
    <row r="19" spans="1:28">
      <c r="A19" s="308">
        <v>42626</v>
      </c>
      <c r="B19" s="358">
        <v>63</v>
      </c>
      <c r="C19" s="356" t="s">
        <v>205</v>
      </c>
      <c r="D19" s="356" t="s">
        <v>212</v>
      </c>
      <c r="E19" s="356">
        <v>1.89</v>
      </c>
      <c r="F19" s="356">
        <v>2.0099999999999998</v>
      </c>
      <c r="G19" s="356">
        <v>2.0499999999999998</v>
      </c>
      <c r="H19" s="356">
        <v>0.32</v>
      </c>
      <c r="J19" s="315">
        <f t="shared" si="7"/>
        <v>0.03</v>
      </c>
      <c r="L19" s="308">
        <v>42626</v>
      </c>
      <c r="M19" s="358">
        <v>63</v>
      </c>
      <c r="N19" s="356" t="s">
        <v>205</v>
      </c>
      <c r="O19" s="356" t="s">
        <v>212</v>
      </c>
      <c r="P19" s="356">
        <v>1.89</v>
      </c>
      <c r="Q19" s="316">
        <f t="shared" si="8"/>
        <v>2.0097315</v>
      </c>
      <c r="R19" s="316">
        <f t="shared" si="9"/>
        <v>2.0491380000000001</v>
      </c>
      <c r="S19" s="316">
        <f t="shared" si="10"/>
        <v>0.31525199999999998</v>
      </c>
      <c r="T19" s="360">
        <f t="shared" si="11"/>
        <v>-2.684999999997828E-4</v>
      </c>
      <c r="U19" s="360">
        <f t="shared" si="12"/>
        <v>-8.6199999999969634E-4</v>
      </c>
      <c r="V19" s="360">
        <f t="shared" si="13"/>
        <v>-4.74800000000003E-3</v>
      </c>
      <c r="X19" s="363"/>
      <c r="Y19" s="323">
        <v>0</v>
      </c>
      <c r="Z19" s="323">
        <v>0</v>
      </c>
      <c r="AA19" s="323">
        <v>0</v>
      </c>
      <c r="AB19" s="320">
        <f t="shared" si="14"/>
        <v>0</v>
      </c>
    </row>
    <row r="20" spans="1:28">
      <c r="A20" s="308">
        <v>42684</v>
      </c>
      <c r="B20" s="358">
        <v>53</v>
      </c>
      <c r="C20" s="356" t="s">
        <v>206</v>
      </c>
      <c r="D20" s="356" t="s">
        <v>213</v>
      </c>
      <c r="E20" s="356">
        <v>2.12</v>
      </c>
      <c r="F20" s="356">
        <v>2.25</v>
      </c>
      <c r="G20" s="356">
        <v>2.2999999999999998</v>
      </c>
      <c r="H20" s="356">
        <v>0.35</v>
      </c>
      <c r="J20" s="315">
        <f t="shared" si="7"/>
        <v>0.04</v>
      </c>
      <c r="L20" s="308">
        <v>42684</v>
      </c>
      <c r="M20" s="358">
        <v>53</v>
      </c>
      <c r="N20" s="356" t="s">
        <v>206</v>
      </c>
      <c r="O20" s="356" t="s">
        <v>213</v>
      </c>
      <c r="P20" s="356">
        <v>2.12</v>
      </c>
      <c r="Q20" s="316">
        <f t="shared" si="8"/>
        <v>2.254302</v>
      </c>
      <c r="R20" s="316">
        <f t="shared" si="9"/>
        <v>2.2985039999999999</v>
      </c>
      <c r="S20" s="316">
        <f t="shared" si="10"/>
        <v>0.35361600000000004</v>
      </c>
      <c r="T20" s="360">
        <f t="shared" si="11"/>
        <v>4.302000000000028E-3</v>
      </c>
      <c r="U20" s="360">
        <f t="shared" si="12"/>
        <v>-1.4959999999999418E-3</v>
      </c>
      <c r="V20" s="360">
        <f t="shared" si="13"/>
        <v>3.6160000000000636E-3</v>
      </c>
      <c r="X20" s="363"/>
      <c r="Y20" s="323">
        <v>0</v>
      </c>
      <c r="Z20" s="323">
        <v>0</v>
      </c>
      <c r="AA20" s="323">
        <v>0</v>
      </c>
      <c r="AB20" s="320">
        <f t="shared" si="14"/>
        <v>0</v>
      </c>
    </row>
    <row r="21" spans="1:28">
      <c r="A21" s="308">
        <v>42745</v>
      </c>
      <c r="B21" s="358">
        <v>52</v>
      </c>
      <c r="C21" s="356" t="s">
        <v>207</v>
      </c>
      <c r="D21" s="356" t="s">
        <v>214</v>
      </c>
      <c r="E21" s="356">
        <v>2.08</v>
      </c>
      <c r="F21" s="356">
        <v>2.21</v>
      </c>
      <c r="G21" s="356">
        <v>2.2599999999999998</v>
      </c>
      <c r="H21" s="356">
        <v>0.35</v>
      </c>
      <c r="J21" s="315">
        <f t="shared" si="7"/>
        <v>0.04</v>
      </c>
      <c r="L21" s="308">
        <v>42745</v>
      </c>
      <c r="M21" s="358">
        <v>52</v>
      </c>
      <c r="N21" s="356" t="s">
        <v>207</v>
      </c>
      <c r="O21" s="356" t="s">
        <v>214</v>
      </c>
      <c r="P21" s="356">
        <v>2.08</v>
      </c>
      <c r="Q21" s="316">
        <f t="shared" si="8"/>
        <v>2.2117680000000002</v>
      </c>
      <c r="R21" s="316">
        <f t="shared" si="9"/>
        <v>2.2551359999999998</v>
      </c>
      <c r="S21" s="316">
        <f t="shared" si="10"/>
        <v>0.34694400000000003</v>
      </c>
      <c r="T21" s="360">
        <f t="shared" si="11"/>
        <v>1.7680000000002138E-3</v>
      </c>
      <c r="U21" s="360">
        <f t="shared" si="12"/>
        <v>-4.8639999999999795E-3</v>
      </c>
      <c r="V21" s="360">
        <f t="shared" si="13"/>
        <v>-3.0559999999999476E-3</v>
      </c>
      <c r="X21" s="363"/>
      <c r="Y21" s="323">
        <v>0</v>
      </c>
      <c r="Z21" s="323">
        <v>0</v>
      </c>
      <c r="AA21" s="323">
        <v>0</v>
      </c>
      <c r="AB21" s="320">
        <f t="shared" si="14"/>
        <v>0</v>
      </c>
    </row>
    <row r="22" spans="1:28" ht="15.75" thickBot="1">
      <c r="A22" s="308">
        <v>42781</v>
      </c>
      <c r="B22" s="358">
        <v>54</v>
      </c>
      <c r="C22" s="356" t="s">
        <v>208</v>
      </c>
      <c r="D22" s="356" t="s">
        <v>215</v>
      </c>
      <c r="E22" s="356">
        <v>2.27</v>
      </c>
      <c r="F22" s="356">
        <v>2.2999999999999998</v>
      </c>
      <c r="G22" s="356">
        <v>2.34</v>
      </c>
      <c r="H22" s="356">
        <v>0.36</v>
      </c>
      <c r="J22" s="315">
        <f t="shared" si="7"/>
        <v>4.2037037037037039E-2</v>
      </c>
      <c r="L22" s="308">
        <v>42781</v>
      </c>
      <c r="M22" s="358">
        <v>54</v>
      </c>
      <c r="N22" s="356" t="s">
        <v>208</v>
      </c>
      <c r="O22" s="356" t="s">
        <v>215</v>
      </c>
      <c r="P22" s="356">
        <v>2.27</v>
      </c>
      <c r="Q22" s="316">
        <f t="shared" si="8"/>
        <v>2.4138044999999999</v>
      </c>
      <c r="R22" s="316">
        <f t="shared" si="9"/>
        <v>2.4611339999999999</v>
      </c>
      <c r="S22" s="316">
        <f t="shared" si="10"/>
        <v>0.37863599999999997</v>
      </c>
      <c r="T22" s="317">
        <f t="shared" si="11"/>
        <v>0.11380450000000009</v>
      </c>
      <c r="U22" s="317">
        <f t="shared" si="12"/>
        <v>0.12113400000000007</v>
      </c>
      <c r="V22" s="317">
        <f t="shared" si="13"/>
        <v>1.8635999999999986E-2</v>
      </c>
      <c r="X22" s="318"/>
      <c r="Y22" s="336">
        <f>T22*Y15</f>
        <v>58.544448935000041</v>
      </c>
      <c r="Z22" s="336">
        <f>U22*Z15</f>
        <v>90.163670220000057</v>
      </c>
      <c r="AA22" s="336">
        <f>V22*AA15</f>
        <v>22.437184919999982</v>
      </c>
      <c r="AB22" s="335">
        <f t="shared" si="14"/>
        <v>171.1453040750001</v>
      </c>
    </row>
    <row r="23" spans="1:28" ht="15.75" thickBot="1">
      <c r="AB23" s="319">
        <f>SUM(AB16:AB22)</f>
        <v>179.9362063749999</v>
      </c>
    </row>
    <row r="24" spans="1:28" s="362" customFormat="1" ht="15.75" thickBot="1">
      <c r="A24" s="361"/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32"/>
    </row>
    <row r="25" spans="1:28">
      <c r="X25" s="400" t="s">
        <v>271</v>
      </c>
      <c r="Y25" s="401"/>
      <c r="Z25" s="401"/>
      <c r="AA25" s="401"/>
      <c r="AB25" s="402"/>
    </row>
    <row r="26" spans="1:28" s="339" customFormat="1">
      <c r="A26" s="403" t="s">
        <v>200</v>
      </c>
      <c r="B26" s="403"/>
      <c r="C26" s="403"/>
      <c r="D26" s="403"/>
      <c r="E26" s="403"/>
      <c r="F26" s="403"/>
      <c r="G26" s="403"/>
      <c r="H26" s="403"/>
      <c r="I26" s="357"/>
      <c r="J26" s="357"/>
      <c r="K26" s="357"/>
      <c r="L26" s="404" t="s">
        <v>134</v>
      </c>
      <c r="M26" s="404"/>
      <c r="N26" s="404"/>
      <c r="O26" s="404"/>
      <c r="P26" s="404"/>
      <c r="Q26" s="404"/>
      <c r="R26" s="404"/>
      <c r="S26" s="404"/>
      <c r="T26" s="404"/>
      <c r="U26" s="404"/>
      <c r="V26" s="404"/>
      <c r="W26" s="357"/>
      <c r="X26" s="352"/>
      <c r="Y26" s="365" t="s">
        <v>241</v>
      </c>
      <c r="Z26" s="365" t="s">
        <v>242</v>
      </c>
      <c r="AA26" s="365" t="s">
        <v>243</v>
      </c>
      <c r="AB26" s="331"/>
    </row>
    <row r="27" spans="1:28" s="339" customFormat="1" ht="30.75" thickBot="1">
      <c r="A27" s="356" t="s">
        <v>105</v>
      </c>
      <c r="B27" s="358" t="s">
        <v>75</v>
      </c>
      <c r="C27" s="356" t="s">
        <v>106</v>
      </c>
      <c r="D27" s="356" t="s">
        <v>107</v>
      </c>
      <c r="E27" s="356" t="s">
        <v>116</v>
      </c>
      <c r="F27" s="356" t="s">
        <v>117</v>
      </c>
      <c r="G27" s="356" t="s">
        <v>118</v>
      </c>
      <c r="H27" s="356" t="s">
        <v>119</v>
      </c>
      <c r="I27" s="357"/>
      <c r="J27" s="356" t="s">
        <v>120</v>
      </c>
      <c r="K27" s="357"/>
      <c r="L27" s="356" t="s">
        <v>105</v>
      </c>
      <c r="M27" s="356" t="s">
        <v>75</v>
      </c>
      <c r="N27" s="356" t="s">
        <v>106</v>
      </c>
      <c r="O27" s="356" t="s">
        <v>107</v>
      </c>
      <c r="P27" s="356" t="s">
        <v>116</v>
      </c>
      <c r="Q27" s="356" t="s">
        <v>117</v>
      </c>
      <c r="R27" s="356" t="s">
        <v>118</v>
      </c>
      <c r="S27" s="356" t="s">
        <v>119</v>
      </c>
      <c r="T27" s="356" t="s">
        <v>135</v>
      </c>
      <c r="U27" s="356" t="s">
        <v>136</v>
      </c>
      <c r="V27" s="356" t="s">
        <v>137</v>
      </c>
      <c r="W27" s="357"/>
      <c r="X27" s="344" t="s">
        <v>240</v>
      </c>
      <c r="Y27" s="336">
        <v>535.83000000000004</v>
      </c>
      <c r="Z27" s="336">
        <v>752.07</v>
      </c>
      <c r="AA27" s="336">
        <v>1195.3599999999999</v>
      </c>
      <c r="AB27" s="329" t="s">
        <v>280</v>
      </c>
    </row>
    <row r="28" spans="1:28">
      <c r="A28" s="308">
        <v>42809</v>
      </c>
      <c r="B28" s="358">
        <v>2</v>
      </c>
      <c r="C28" s="356" t="s">
        <v>215</v>
      </c>
      <c r="D28" s="356" t="s">
        <v>222</v>
      </c>
      <c r="E28" s="356"/>
      <c r="F28" s="356"/>
      <c r="G28" s="356"/>
      <c r="H28" s="356"/>
      <c r="J28" s="315">
        <f t="shared" ref="J28:J34" si="15">E28/B28</f>
        <v>0</v>
      </c>
      <c r="L28" s="308">
        <v>42809</v>
      </c>
      <c r="M28" s="358">
        <v>2</v>
      </c>
      <c r="N28" s="356" t="s">
        <v>215</v>
      </c>
      <c r="O28" s="356" t="s">
        <v>222</v>
      </c>
      <c r="P28" s="356"/>
      <c r="Q28" s="316">
        <f t="shared" ref="Q28:Q34" si="16">((J28*8.34*255)*M28)/2000</f>
        <v>0</v>
      </c>
      <c r="R28" s="316">
        <f t="shared" ref="R28:R34" si="17">((J28*8.34*260)*M28)/2000</f>
        <v>0</v>
      </c>
      <c r="S28" s="316">
        <f t="shared" ref="S28:S34" si="18">((J28*8.34*40)*M28)/2000</f>
        <v>0</v>
      </c>
      <c r="T28" s="360">
        <f t="shared" ref="T28:T34" si="19">Q28-F28</f>
        <v>0</v>
      </c>
      <c r="U28" s="360">
        <f t="shared" ref="U28:U34" si="20">R28-G28</f>
        <v>0</v>
      </c>
      <c r="V28" s="360">
        <f t="shared" ref="V28:V34" si="21">S28-H28</f>
        <v>0</v>
      </c>
      <c r="X28" s="366"/>
      <c r="Y28" s="347">
        <f>T28*Y27</f>
        <v>0</v>
      </c>
      <c r="Z28" s="347">
        <f>U28*Z27</f>
        <v>0</v>
      </c>
      <c r="AA28" s="347">
        <f>V28*AA27</f>
        <v>0</v>
      </c>
      <c r="AB28" s="349">
        <f t="shared" ref="AB28:AB34" si="22">SUM(Y28:AA28)</f>
        <v>0</v>
      </c>
    </row>
    <row r="29" spans="1:28">
      <c r="A29" s="308">
        <v>42867</v>
      </c>
      <c r="B29" s="358">
        <v>61</v>
      </c>
      <c r="C29" s="356" t="s">
        <v>216</v>
      </c>
      <c r="D29" s="356" t="s">
        <v>223</v>
      </c>
      <c r="E29" s="356">
        <v>3.73</v>
      </c>
      <c r="F29" s="356">
        <v>3.83</v>
      </c>
      <c r="G29" s="356">
        <v>3.9</v>
      </c>
      <c r="H29" s="356">
        <v>0.6</v>
      </c>
      <c r="J29" s="315">
        <f t="shared" si="15"/>
        <v>6.1147540983606558E-2</v>
      </c>
      <c r="L29" s="308">
        <v>42867</v>
      </c>
      <c r="M29" s="358">
        <v>61</v>
      </c>
      <c r="N29" s="356" t="s">
        <v>216</v>
      </c>
      <c r="O29" s="356" t="s">
        <v>223</v>
      </c>
      <c r="P29" s="356">
        <v>3.73</v>
      </c>
      <c r="Q29" s="316">
        <f t="shared" si="16"/>
        <v>3.9662955000000002</v>
      </c>
      <c r="R29" s="316">
        <f t="shared" si="17"/>
        <v>4.0440659999999999</v>
      </c>
      <c r="S29" s="316">
        <f t="shared" si="18"/>
        <v>0.62216399999999994</v>
      </c>
      <c r="T29" s="317">
        <f t="shared" si="19"/>
        <v>0.13629550000000012</v>
      </c>
      <c r="U29" s="317">
        <f t="shared" si="20"/>
        <v>0.14406600000000003</v>
      </c>
      <c r="V29" s="317">
        <f t="shared" si="21"/>
        <v>2.2163999999999962E-2</v>
      </c>
      <c r="X29" s="363"/>
      <c r="Y29" s="323">
        <f>T29*Y27</f>
        <v>73.031217765000079</v>
      </c>
      <c r="Z29" s="323">
        <f>U29*Z27</f>
        <v>108.34771662000003</v>
      </c>
      <c r="AA29" s="323">
        <f>V29*AA27</f>
        <v>26.49395903999995</v>
      </c>
      <c r="AB29" s="341">
        <f t="shared" si="22"/>
        <v>207.87289342500003</v>
      </c>
    </row>
    <row r="30" spans="1:28">
      <c r="A30" s="308">
        <v>42956</v>
      </c>
      <c r="B30" s="358">
        <v>84</v>
      </c>
      <c r="C30" s="356" t="s">
        <v>217</v>
      </c>
      <c r="D30" s="356" t="s">
        <v>224</v>
      </c>
      <c r="E30" s="356">
        <v>5.18</v>
      </c>
      <c r="F30" s="356">
        <v>5.33</v>
      </c>
      <c r="G30" s="356">
        <v>5.43</v>
      </c>
      <c r="H30" s="356">
        <v>0.84</v>
      </c>
      <c r="J30" s="315">
        <f t="shared" si="15"/>
        <v>6.1666666666666661E-2</v>
      </c>
      <c r="L30" s="308">
        <v>42956</v>
      </c>
      <c r="M30" s="358">
        <v>84</v>
      </c>
      <c r="N30" s="356" t="s">
        <v>217</v>
      </c>
      <c r="O30" s="356" t="s">
        <v>224</v>
      </c>
      <c r="P30" s="356">
        <v>5.18</v>
      </c>
      <c r="Q30" s="316">
        <f t="shared" si="16"/>
        <v>5.5081530000000001</v>
      </c>
      <c r="R30" s="316">
        <f t="shared" si="17"/>
        <v>5.6161560000000001</v>
      </c>
      <c r="S30" s="316">
        <f t="shared" si="18"/>
        <v>0.86402400000000001</v>
      </c>
      <c r="T30" s="317">
        <f t="shared" si="19"/>
        <v>0.17815300000000001</v>
      </c>
      <c r="U30" s="317">
        <f t="shared" si="20"/>
        <v>0.18615600000000043</v>
      </c>
      <c r="V30" s="317">
        <f t="shared" si="21"/>
        <v>2.4024000000000045E-2</v>
      </c>
      <c r="X30" s="363"/>
      <c r="Y30" s="323">
        <f>T30*Y27</f>
        <v>95.459721990000006</v>
      </c>
      <c r="Z30" s="323">
        <f>U30*Z27</f>
        <v>140.00234292000033</v>
      </c>
      <c r="AA30" s="323">
        <f>V30*AA27</f>
        <v>28.717328640000051</v>
      </c>
      <c r="AB30" s="341">
        <f t="shared" si="22"/>
        <v>264.17939355000038</v>
      </c>
    </row>
    <row r="31" spans="1:28">
      <c r="A31" s="308">
        <v>43061</v>
      </c>
      <c r="B31" s="358">
        <v>79</v>
      </c>
      <c r="C31" s="356" t="s">
        <v>218</v>
      </c>
      <c r="D31" s="356" t="s">
        <v>225</v>
      </c>
      <c r="E31" s="356">
        <v>4.9000000000000004</v>
      </c>
      <c r="F31" s="356">
        <v>5.04</v>
      </c>
      <c r="G31" s="356">
        <v>5.14</v>
      </c>
      <c r="H31" s="356">
        <v>0.79</v>
      </c>
      <c r="J31" s="315">
        <f t="shared" si="15"/>
        <v>6.2025316455696207E-2</v>
      </c>
      <c r="L31" s="308">
        <v>43061</v>
      </c>
      <c r="M31" s="358">
        <v>79</v>
      </c>
      <c r="N31" s="356" t="s">
        <v>218</v>
      </c>
      <c r="O31" s="356" t="s">
        <v>225</v>
      </c>
      <c r="P31" s="356">
        <v>4.9000000000000004</v>
      </c>
      <c r="Q31" s="316">
        <f t="shared" si="16"/>
        <v>5.2104150000000011</v>
      </c>
      <c r="R31" s="316">
        <f t="shared" si="17"/>
        <v>5.3125800000000005</v>
      </c>
      <c r="S31" s="316">
        <f t="shared" si="18"/>
        <v>0.81732000000000016</v>
      </c>
      <c r="T31" s="317">
        <f t="shared" si="19"/>
        <v>0.17041500000000109</v>
      </c>
      <c r="U31" s="317">
        <f t="shared" si="20"/>
        <v>0.17258000000000084</v>
      </c>
      <c r="V31" s="317">
        <f t="shared" si="21"/>
        <v>2.7320000000000122E-2</v>
      </c>
      <c r="X31" s="363"/>
      <c r="Y31" s="323">
        <f>T31*Y27</f>
        <v>91.313469450000596</v>
      </c>
      <c r="Z31" s="323">
        <f>U31*Z27</f>
        <v>129.79224060000064</v>
      </c>
      <c r="AA31" s="323">
        <f>V31*AA27</f>
        <v>32.657235200000144</v>
      </c>
      <c r="AB31" s="341">
        <f t="shared" si="22"/>
        <v>253.76294525000137</v>
      </c>
    </row>
    <row r="32" spans="1:28">
      <c r="A32" s="308">
        <v>43108</v>
      </c>
      <c r="B32" s="358">
        <v>58</v>
      </c>
      <c r="C32" s="356" t="s">
        <v>219</v>
      </c>
      <c r="D32" s="356" t="s">
        <v>226</v>
      </c>
      <c r="E32" s="356">
        <v>4.66</v>
      </c>
      <c r="F32" s="356">
        <v>4.78</v>
      </c>
      <c r="G32" s="356">
        <v>4.88</v>
      </c>
      <c r="H32" s="356">
        <v>0.75</v>
      </c>
      <c r="J32" s="315">
        <f t="shared" si="15"/>
        <v>8.0344827586206896E-2</v>
      </c>
      <c r="L32" s="308">
        <v>43108</v>
      </c>
      <c r="M32" s="358">
        <v>58</v>
      </c>
      <c r="N32" s="356" t="s">
        <v>219</v>
      </c>
      <c r="O32" s="356" t="s">
        <v>226</v>
      </c>
      <c r="P32" s="356">
        <v>4.66</v>
      </c>
      <c r="Q32" s="316">
        <f t="shared" si="16"/>
        <v>4.9552110000000003</v>
      </c>
      <c r="R32" s="316">
        <f t="shared" si="17"/>
        <v>5.0523719999999992</v>
      </c>
      <c r="S32" s="316">
        <f t="shared" si="18"/>
        <v>0.77728799999999998</v>
      </c>
      <c r="T32" s="317">
        <f t="shared" si="19"/>
        <v>0.17521100000000001</v>
      </c>
      <c r="U32" s="317">
        <f t="shared" si="20"/>
        <v>0.1723719999999993</v>
      </c>
      <c r="V32" s="317">
        <f t="shared" si="21"/>
        <v>2.7287999999999979E-2</v>
      </c>
      <c r="X32" s="363"/>
      <c r="Y32" s="323">
        <f>T32*Y27</f>
        <v>93.883310130000012</v>
      </c>
      <c r="Z32" s="323">
        <f>U32*Z27</f>
        <v>129.63581003999948</v>
      </c>
      <c r="AA32" s="323">
        <f>V32*AA27</f>
        <v>32.618983679999971</v>
      </c>
      <c r="AB32" s="341">
        <f t="shared" si="22"/>
        <v>256.13810384999948</v>
      </c>
    </row>
    <row r="33" spans="1:28">
      <c r="A33" s="308">
        <v>43133</v>
      </c>
      <c r="B33" s="358">
        <v>55</v>
      </c>
      <c r="C33" s="356" t="s">
        <v>220</v>
      </c>
      <c r="D33" s="356" t="s">
        <v>227</v>
      </c>
      <c r="E33" s="356">
        <v>2.4700000000000002</v>
      </c>
      <c r="F33" s="356">
        <v>2.5</v>
      </c>
      <c r="G33" s="356">
        <v>2.5499999999999998</v>
      </c>
      <c r="H33" s="356">
        <v>0.39</v>
      </c>
      <c r="J33" s="315">
        <f t="shared" si="15"/>
        <v>4.4909090909090912E-2</v>
      </c>
      <c r="L33" s="308">
        <v>43133</v>
      </c>
      <c r="M33" s="358">
        <v>55</v>
      </c>
      <c r="N33" s="356" t="s">
        <v>220</v>
      </c>
      <c r="O33" s="356" t="s">
        <v>227</v>
      </c>
      <c r="P33" s="356">
        <v>2.4700000000000002</v>
      </c>
      <c r="Q33" s="316">
        <f t="shared" si="16"/>
        <v>2.6264744999999996</v>
      </c>
      <c r="R33" s="316">
        <f t="shared" si="17"/>
        <v>2.6779740000000003</v>
      </c>
      <c r="S33" s="316">
        <f t="shared" si="18"/>
        <v>0.41199599999999997</v>
      </c>
      <c r="T33" s="317">
        <f t="shared" si="19"/>
        <v>0.1264744999999996</v>
      </c>
      <c r="U33" s="317">
        <f t="shared" si="20"/>
        <v>0.12797400000000048</v>
      </c>
      <c r="V33" s="317">
        <f t="shared" si="21"/>
        <v>2.199599999999996E-2</v>
      </c>
      <c r="X33" s="363"/>
      <c r="Y33" s="323">
        <f>T33*Y27</f>
        <v>67.768831334999788</v>
      </c>
      <c r="Z33" s="323">
        <f>U33*Z27</f>
        <v>96.245406180000359</v>
      </c>
      <c r="AA33" s="323">
        <f>V33*AA27</f>
        <v>26.293138559999949</v>
      </c>
      <c r="AB33" s="341">
        <f t="shared" si="22"/>
        <v>190.30737607500012</v>
      </c>
    </row>
    <row r="34" spans="1:28" ht="15.75" thickBot="1">
      <c r="A34" s="308">
        <v>43157</v>
      </c>
      <c r="B34" s="358">
        <v>4</v>
      </c>
      <c r="C34" s="356" t="s">
        <v>221</v>
      </c>
      <c r="D34" s="356" t="s">
        <v>228</v>
      </c>
      <c r="E34" s="356">
        <v>0.25</v>
      </c>
      <c r="F34" s="356">
        <v>0.27</v>
      </c>
      <c r="G34" s="356">
        <v>0.27</v>
      </c>
      <c r="H34" s="356">
        <v>0.04</v>
      </c>
      <c r="J34" s="315">
        <f t="shared" si="15"/>
        <v>6.25E-2</v>
      </c>
      <c r="L34" s="308">
        <v>43157</v>
      </c>
      <c r="M34" s="358">
        <v>4</v>
      </c>
      <c r="N34" s="356" t="s">
        <v>221</v>
      </c>
      <c r="O34" s="356" t="s">
        <v>228</v>
      </c>
      <c r="P34" s="356">
        <v>0.25</v>
      </c>
      <c r="Q34" s="316">
        <f t="shared" si="16"/>
        <v>0.2658375</v>
      </c>
      <c r="R34" s="316">
        <f t="shared" si="17"/>
        <v>0.27105000000000001</v>
      </c>
      <c r="S34" s="316">
        <f t="shared" si="18"/>
        <v>4.1700000000000001E-2</v>
      </c>
      <c r="T34" s="360">
        <f t="shared" si="19"/>
        <v>-4.1625000000000134E-3</v>
      </c>
      <c r="U34" s="360">
        <f t="shared" si="20"/>
        <v>1.0499999999999954E-3</v>
      </c>
      <c r="V34" s="360">
        <f t="shared" si="21"/>
        <v>1.7000000000000001E-3</v>
      </c>
      <c r="X34" s="318"/>
      <c r="Y34" s="336">
        <v>0</v>
      </c>
      <c r="Z34" s="336">
        <v>0</v>
      </c>
      <c r="AA34" s="336">
        <v>0</v>
      </c>
      <c r="AB34" s="351">
        <f t="shared" si="22"/>
        <v>0</v>
      </c>
    </row>
    <row r="35" spans="1:28" ht="15.75" thickBot="1">
      <c r="AB35" s="319">
        <f>SUM(AB28:AB34)</f>
        <v>1172.2607121500014</v>
      </c>
    </row>
    <row r="36" spans="1:28" s="362" customFormat="1" ht="15.75" thickBot="1">
      <c r="A36" s="361"/>
      <c r="B36" s="361"/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32"/>
    </row>
    <row r="37" spans="1:28">
      <c r="X37" s="400" t="s">
        <v>272</v>
      </c>
      <c r="Y37" s="401"/>
      <c r="Z37" s="401"/>
      <c r="AA37" s="401"/>
      <c r="AB37" s="402"/>
    </row>
    <row r="38" spans="1:28" s="345" customFormat="1">
      <c r="A38" s="403" t="s">
        <v>201</v>
      </c>
      <c r="B38" s="403"/>
      <c r="C38" s="403"/>
      <c r="D38" s="403"/>
      <c r="E38" s="403"/>
      <c r="F38" s="403"/>
      <c r="G38" s="403"/>
      <c r="H38" s="403"/>
      <c r="I38" s="357"/>
      <c r="J38" s="357"/>
      <c r="K38" s="357"/>
      <c r="L38" s="404" t="s">
        <v>134</v>
      </c>
      <c r="M38" s="404"/>
      <c r="N38" s="404"/>
      <c r="O38" s="404"/>
      <c r="P38" s="404"/>
      <c r="Q38" s="404"/>
      <c r="R38" s="404"/>
      <c r="S38" s="404"/>
      <c r="T38" s="404"/>
      <c r="U38" s="404"/>
      <c r="V38" s="404"/>
      <c r="W38" s="357"/>
      <c r="X38" s="352"/>
      <c r="Y38" s="365" t="s">
        <v>241</v>
      </c>
      <c r="Z38" s="365" t="s">
        <v>242</v>
      </c>
      <c r="AA38" s="365" t="s">
        <v>243</v>
      </c>
      <c r="AB38" s="331"/>
    </row>
    <row r="39" spans="1:28" s="345" customFormat="1" ht="30.75" thickBot="1">
      <c r="A39" s="356" t="s">
        <v>105</v>
      </c>
      <c r="B39" s="358" t="s">
        <v>75</v>
      </c>
      <c r="C39" s="356" t="s">
        <v>106</v>
      </c>
      <c r="D39" s="356" t="s">
        <v>107</v>
      </c>
      <c r="E39" s="356" t="s">
        <v>116</v>
      </c>
      <c r="F39" s="356" t="s">
        <v>117</v>
      </c>
      <c r="G39" s="356" t="s">
        <v>118</v>
      </c>
      <c r="H39" s="356" t="s">
        <v>119</v>
      </c>
      <c r="I39" s="357"/>
      <c r="J39" s="356" t="s">
        <v>120</v>
      </c>
      <c r="K39" s="357"/>
      <c r="L39" s="356" t="s">
        <v>105</v>
      </c>
      <c r="M39" s="356" t="s">
        <v>75</v>
      </c>
      <c r="N39" s="356" t="s">
        <v>106</v>
      </c>
      <c r="O39" s="356" t="s">
        <v>107</v>
      </c>
      <c r="P39" s="356" t="s">
        <v>116</v>
      </c>
      <c r="Q39" s="356" t="s">
        <v>117</v>
      </c>
      <c r="R39" s="356" t="s">
        <v>118</v>
      </c>
      <c r="S39" s="356" t="s">
        <v>119</v>
      </c>
      <c r="T39" s="356" t="s">
        <v>135</v>
      </c>
      <c r="U39" s="356" t="s">
        <v>136</v>
      </c>
      <c r="V39" s="356" t="s">
        <v>137</v>
      </c>
      <c r="W39" s="357"/>
      <c r="X39" s="344" t="s">
        <v>240</v>
      </c>
      <c r="Y39" s="336">
        <v>555.08000000000004</v>
      </c>
      <c r="Z39" s="336">
        <v>786.58</v>
      </c>
      <c r="AA39" s="336">
        <v>1159.3</v>
      </c>
      <c r="AB39" s="329" t="s">
        <v>280</v>
      </c>
    </row>
    <row r="40" spans="1:28">
      <c r="A40" s="308">
        <v>43157</v>
      </c>
      <c r="B40" s="358">
        <v>4</v>
      </c>
      <c r="C40" s="356" t="s">
        <v>229</v>
      </c>
      <c r="D40" s="356" t="s">
        <v>228</v>
      </c>
      <c r="E40" s="356"/>
      <c r="F40" s="356"/>
      <c r="G40" s="356"/>
      <c r="H40" s="356"/>
      <c r="J40" s="315">
        <f t="shared" ref="J40:J46" si="23">E40/B40</f>
        <v>0</v>
      </c>
      <c r="L40" s="308">
        <v>43157</v>
      </c>
      <c r="M40" s="358">
        <v>4</v>
      </c>
      <c r="N40" s="356" t="s">
        <v>229</v>
      </c>
      <c r="O40" s="356" t="s">
        <v>228</v>
      </c>
      <c r="P40" s="356"/>
      <c r="Q40" s="316">
        <f t="shared" ref="Q40:Q46" si="24">((J40*8.34*255)*M40)/2000</f>
        <v>0</v>
      </c>
      <c r="R40" s="316">
        <f t="shared" ref="R40:R46" si="25">((J40*8.34*260)*M40)/2000</f>
        <v>0</v>
      </c>
      <c r="S40" s="316">
        <f t="shared" ref="S40:S46" si="26">((J40*8.34*40)*M40)/2000</f>
        <v>0</v>
      </c>
      <c r="T40" s="360">
        <f t="shared" ref="T40:T46" si="27">Q40-F40</f>
        <v>0</v>
      </c>
      <c r="U40" s="360">
        <f t="shared" ref="U40:U46" si="28">R40-G40</f>
        <v>0</v>
      </c>
      <c r="V40" s="360">
        <f t="shared" ref="V40:V46" si="29">S40-H40</f>
        <v>0</v>
      </c>
      <c r="X40" s="366"/>
      <c r="Y40" s="347">
        <v>0</v>
      </c>
      <c r="Z40" s="347">
        <v>0</v>
      </c>
      <c r="AA40" s="347">
        <v>0</v>
      </c>
      <c r="AB40" s="349">
        <f>SUM(Y40:AA40)</f>
        <v>0</v>
      </c>
    </row>
    <row r="41" spans="1:28">
      <c r="A41" s="308">
        <v>43208</v>
      </c>
      <c r="B41" s="358">
        <v>41</v>
      </c>
      <c r="C41" s="367" t="s">
        <v>221</v>
      </c>
      <c r="D41" s="367" t="s">
        <v>234</v>
      </c>
      <c r="E41" s="356">
        <v>1.78</v>
      </c>
      <c r="F41" s="356">
        <v>1.89</v>
      </c>
      <c r="G41" s="356">
        <v>1.93</v>
      </c>
      <c r="H41" s="356">
        <v>0.3</v>
      </c>
      <c r="J41" s="315">
        <f t="shared" si="23"/>
        <v>4.3414634146341467E-2</v>
      </c>
      <c r="L41" s="308">
        <v>43208</v>
      </c>
      <c r="M41" s="358">
        <v>41</v>
      </c>
      <c r="N41" s="367" t="s">
        <v>221</v>
      </c>
      <c r="O41" s="367" t="s">
        <v>234</v>
      </c>
      <c r="P41" s="356">
        <v>1.78</v>
      </c>
      <c r="Q41" s="316">
        <f t="shared" si="24"/>
        <v>1.8927630000000002</v>
      </c>
      <c r="R41" s="316">
        <f t="shared" si="25"/>
        <v>1.9298760000000001</v>
      </c>
      <c r="S41" s="316">
        <f t="shared" si="26"/>
        <v>0.296904</v>
      </c>
      <c r="T41" s="360">
        <f t="shared" si="27"/>
        <v>2.763000000000293E-3</v>
      </c>
      <c r="U41" s="360">
        <f t="shared" si="28"/>
        <v>-1.2399999999979094E-4</v>
      </c>
      <c r="V41" s="360">
        <f t="shared" si="29"/>
        <v>-3.0959999999999877E-3</v>
      </c>
      <c r="X41" s="363"/>
      <c r="Y41" s="323">
        <v>0</v>
      </c>
      <c r="Z41" s="323">
        <v>0</v>
      </c>
      <c r="AA41" s="323">
        <v>0</v>
      </c>
      <c r="AB41" s="349">
        <f t="shared" ref="AB41:AB45" si="30">SUM(Y41:AA41)</f>
        <v>0</v>
      </c>
    </row>
    <row r="42" spans="1:28">
      <c r="A42" s="308">
        <v>43264</v>
      </c>
      <c r="B42" s="358">
        <v>69</v>
      </c>
      <c r="C42" s="356" t="s">
        <v>230</v>
      </c>
      <c r="D42" s="356" t="s">
        <v>235</v>
      </c>
      <c r="E42" s="356">
        <v>3.18</v>
      </c>
      <c r="F42" s="356">
        <v>3.38</v>
      </c>
      <c r="G42" s="356">
        <v>3.45</v>
      </c>
      <c r="H42" s="356">
        <v>0.53</v>
      </c>
      <c r="J42" s="315">
        <f t="shared" si="23"/>
        <v>4.6086956521739129E-2</v>
      </c>
      <c r="L42" s="308">
        <v>43264</v>
      </c>
      <c r="M42" s="358">
        <v>69</v>
      </c>
      <c r="N42" s="356" t="s">
        <v>230</v>
      </c>
      <c r="O42" s="356" t="s">
        <v>235</v>
      </c>
      <c r="P42" s="356">
        <v>3.18</v>
      </c>
      <c r="Q42" s="316">
        <f t="shared" si="24"/>
        <v>3.381453</v>
      </c>
      <c r="R42" s="316">
        <f t="shared" si="25"/>
        <v>3.4477560000000005</v>
      </c>
      <c r="S42" s="316">
        <f t="shared" si="26"/>
        <v>0.53042400000000001</v>
      </c>
      <c r="T42" s="360">
        <f t="shared" si="27"/>
        <v>1.4530000000001486E-3</v>
      </c>
      <c r="U42" s="360">
        <f t="shared" si="28"/>
        <v>-2.2439999999996907E-3</v>
      </c>
      <c r="V42" s="360">
        <f t="shared" si="29"/>
        <v>4.2399999999997995E-4</v>
      </c>
      <c r="X42" s="363"/>
      <c r="Y42" s="323">
        <v>0</v>
      </c>
      <c r="Z42" s="323">
        <v>0</v>
      </c>
      <c r="AA42" s="323">
        <v>0</v>
      </c>
      <c r="AB42" s="349">
        <f t="shared" si="30"/>
        <v>0</v>
      </c>
    </row>
    <row r="43" spans="1:28">
      <c r="A43" s="308">
        <v>43353</v>
      </c>
      <c r="B43" s="358">
        <v>63</v>
      </c>
      <c r="C43" s="356" t="s">
        <v>231</v>
      </c>
      <c r="D43" s="356" t="s">
        <v>236</v>
      </c>
      <c r="E43" s="356">
        <v>4.0999999999999996</v>
      </c>
      <c r="F43" s="356">
        <v>4.22</v>
      </c>
      <c r="G43" s="356">
        <v>4.3</v>
      </c>
      <c r="H43" s="356">
        <v>0.66</v>
      </c>
      <c r="J43" s="315">
        <f t="shared" si="23"/>
        <v>6.507936507936507E-2</v>
      </c>
      <c r="L43" s="308">
        <v>43353</v>
      </c>
      <c r="M43" s="358">
        <v>63</v>
      </c>
      <c r="N43" s="356" t="s">
        <v>231</v>
      </c>
      <c r="O43" s="356" t="s">
        <v>236</v>
      </c>
      <c r="P43" s="356">
        <v>4.0999999999999996</v>
      </c>
      <c r="Q43" s="316">
        <f t="shared" si="24"/>
        <v>4.3597349999999997</v>
      </c>
      <c r="R43" s="316">
        <f t="shared" si="25"/>
        <v>4.4452199999999991</v>
      </c>
      <c r="S43" s="316">
        <f t="shared" si="26"/>
        <v>0.68387999999999993</v>
      </c>
      <c r="T43" s="317">
        <f t="shared" si="27"/>
        <v>0.13973499999999994</v>
      </c>
      <c r="U43" s="317">
        <f t="shared" si="28"/>
        <v>0.14521999999999924</v>
      </c>
      <c r="V43" s="317">
        <f t="shared" si="29"/>
        <v>2.3879999999999901E-2</v>
      </c>
      <c r="X43" s="363"/>
      <c r="Y43" s="323">
        <f>T43*Y39</f>
        <v>77.56410379999997</v>
      </c>
      <c r="Z43" s="323">
        <f>U43*Z39</f>
        <v>114.22714759999941</v>
      </c>
      <c r="AA43" s="323">
        <f>V43*AA39</f>
        <v>27.684083999999885</v>
      </c>
      <c r="AB43" s="349">
        <f t="shared" si="30"/>
        <v>219.47533539999927</v>
      </c>
    </row>
    <row r="44" spans="1:28">
      <c r="A44" s="308">
        <v>43403</v>
      </c>
      <c r="B44" s="358">
        <v>63</v>
      </c>
      <c r="C44" s="356" t="s">
        <v>232</v>
      </c>
      <c r="D44" s="356" t="s">
        <v>237</v>
      </c>
      <c r="E44" s="356">
        <v>4.0999999999999996</v>
      </c>
      <c r="F44" s="356">
        <v>4.22</v>
      </c>
      <c r="G44" s="356">
        <v>4.3</v>
      </c>
      <c r="H44" s="356">
        <v>0.66</v>
      </c>
      <c r="J44" s="315">
        <f t="shared" si="23"/>
        <v>6.507936507936507E-2</v>
      </c>
      <c r="L44" s="308">
        <v>43403</v>
      </c>
      <c r="M44" s="358">
        <v>63</v>
      </c>
      <c r="N44" s="356" t="s">
        <v>232</v>
      </c>
      <c r="O44" s="356" t="s">
        <v>237</v>
      </c>
      <c r="P44" s="356">
        <v>4.0999999999999996</v>
      </c>
      <c r="Q44" s="316">
        <f t="shared" si="24"/>
        <v>4.3597349999999997</v>
      </c>
      <c r="R44" s="316">
        <f t="shared" si="25"/>
        <v>4.4452199999999991</v>
      </c>
      <c r="S44" s="316">
        <f t="shared" si="26"/>
        <v>0.68387999999999993</v>
      </c>
      <c r="T44" s="317">
        <f t="shared" si="27"/>
        <v>0.13973499999999994</v>
      </c>
      <c r="U44" s="317">
        <f t="shared" si="28"/>
        <v>0.14521999999999924</v>
      </c>
      <c r="V44" s="317">
        <f t="shared" si="29"/>
        <v>2.3879999999999901E-2</v>
      </c>
      <c r="X44" s="363"/>
      <c r="Y44" s="323">
        <f>T44*Y39</f>
        <v>77.56410379999997</v>
      </c>
      <c r="Z44" s="323">
        <f>U44*Z39</f>
        <v>114.22714759999941</v>
      </c>
      <c r="AA44" s="323">
        <f>V44*AA39</f>
        <v>27.684083999999885</v>
      </c>
      <c r="AB44" s="349">
        <f t="shared" si="30"/>
        <v>219.47533539999927</v>
      </c>
    </row>
    <row r="45" spans="1:28">
      <c r="A45" s="308">
        <v>43462</v>
      </c>
      <c r="B45" s="358">
        <v>63</v>
      </c>
      <c r="C45" s="356" t="s">
        <v>233</v>
      </c>
      <c r="D45" s="356" t="s">
        <v>238</v>
      </c>
      <c r="E45" s="356">
        <v>3.91</v>
      </c>
      <c r="F45" s="356">
        <v>4.0199999999999996</v>
      </c>
      <c r="G45" s="356">
        <v>4.0999999999999996</v>
      </c>
      <c r="H45" s="356">
        <v>0.63</v>
      </c>
      <c r="J45" s="315">
        <f t="shared" si="23"/>
        <v>6.2063492063492064E-2</v>
      </c>
      <c r="L45" s="308">
        <v>43462</v>
      </c>
      <c r="M45" s="358">
        <v>63</v>
      </c>
      <c r="N45" s="356" t="s">
        <v>233</v>
      </c>
      <c r="O45" s="356" t="s">
        <v>238</v>
      </c>
      <c r="P45" s="356">
        <v>3.91</v>
      </c>
      <c r="Q45" s="316">
        <f t="shared" si="24"/>
        <v>4.1576985000000004</v>
      </c>
      <c r="R45" s="316">
        <f t="shared" si="25"/>
        <v>4.2392220000000007</v>
      </c>
      <c r="S45" s="316">
        <f t="shared" si="26"/>
        <v>0.6521880000000001</v>
      </c>
      <c r="T45" s="317">
        <f t="shared" si="27"/>
        <v>0.13769850000000083</v>
      </c>
      <c r="U45" s="317">
        <f t="shared" si="28"/>
        <v>0.13922200000000107</v>
      </c>
      <c r="V45" s="317">
        <f t="shared" si="29"/>
        <v>2.2188000000000097E-2</v>
      </c>
      <c r="X45" s="363"/>
      <c r="Y45" s="323">
        <f>T45*Y39</f>
        <v>76.433683380000474</v>
      </c>
      <c r="Z45" s="323">
        <f>U45*Z39</f>
        <v>109.50924076000085</v>
      </c>
      <c r="AA45" s="323">
        <f>V45*AA39</f>
        <v>25.722548400000111</v>
      </c>
      <c r="AB45" s="349">
        <f t="shared" si="30"/>
        <v>211.66547254000142</v>
      </c>
    </row>
    <row r="46" spans="1:28" ht="15.75" thickBot="1">
      <c r="A46" s="308">
        <v>43524</v>
      </c>
      <c r="B46" s="358">
        <v>72</v>
      </c>
      <c r="C46" s="356" t="s">
        <v>197</v>
      </c>
      <c r="D46" s="356" t="s">
        <v>239</v>
      </c>
      <c r="E46" s="356">
        <v>1.66</v>
      </c>
      <c r="F46" s="356">
        <v>1.6</v>
      </c>
      <c r="G46" s="356">
        <v>1.64</v>
      </c>
      <c r="H46" s="356">
        <v>0.25</v>
      </c>
      <c r="J46" s="315">
        <f t="shared" si="23"/>
        <v>2.3055555555555555E-2</v>
      </c>
      <c r="L46" s="308">
        <v>43524</v>
      </c>
      <c r="M46" s="358">
        <v>72</v>
      </c>
      <c r="N46" s="356" t="s">
        <v>197</v>
      </c>
      <c r="O46" s="356" t="s">
        <v>239</v>
      </c>
      <c r="P46" s="356">
        <v>1.66</v>
      </c>
      <c r="Q46" s="316">
        <f t="shared" si="24"/>
        <v>1.7651609999999998</v>
      </c>
      <c r="R46" s="316">
        <f t="shared" si="25"/>
        <v>1.7997720000000001</v>
      </c>
      <c r="S46" s="316">
        <f t="shared" si="26"/>
        <v>0.27688800000000002</v>
      </c>
      <c r="T46" s="317">
        <f t="shared" si="27"/>
        <v>0.16516099999999967</v>
      </c>
      <c r="U46" s="317">
        <f t="shared" si="28"/>
        <v>0.15977200000000025</v>
      </c>
      <c r="V46" s="317">
        <f t="shared" si="29"/>
        <v>2.6888000000000023E-2</v>
      </c>
      <c r="X46" s="318"/>
      <c r="Y46" s="336">
        <f>T46*Y39</f>
        <v>91.677567879999827</v>
      </c>
      <c r="Z46" s="336">
        <f>U46*Z39</f>
        <v>125.6734597600002</v>
      </c>
      <c r="AA46" s="336">
        <f>V46*AA39</f>
        <v>31.171258400000024</v>
      </c>
      <c r="AB46" s="351">
        <f>SUM(Y46:AA46)</f>
        <v>248.52228604000007</v>
      </c>
    </row>
    <row r="47" spans="1:28" ht="15.75" thickBot="1">
      <c r="AB47" s="319">
        <f>SUM(AB40:AB46)</f>
        <v>899.13842938000005</v>
      </c>
    </row>
    <row r="48" spans="1:28" s="362" customFormat="1" ht="15.75" thickBot="1">
      <c r="A48" s="361"/>
      <c r="B48" s="361"/>
      <c r="C48" s="361"/>
      <c r="D48" s="361"/>
      <c r="E48" s="361"/>
      <c r="F48" s="361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61"/>
      <c r="V48" s="361"/>
      <c r="W48" s="361"/>
      <c r="X48" s="361"/>
      <c r="Y48" s="361"/>
      <c r="Z48" s="361"/>
      <c r="AA48" s="361"/>
      <c r="AB48" s="332"/>
    </row>
    <row r="49" spans="1:28">
      <c r="X49" s="397" t="s">
        <v>273</v>
      </c>
      <c r="Y49" s="398"/>
      <c r="Z49" s="398"/>
      <c r="AA49" s="398"/>
      <c r="AB49" s="399"/>
    </row>
    <row r="50" spans="1:28" s="337" customFormat="1">
      <c r="A50" s="403" t="s">
        <v>187</v>
      </c>
      <c r="B50" s="403"/>
      <c r="C50" s="403"/>
      <c r="D50" s="403"/>
      <c r="E50" s="403"/>
      <c r="F50" s="403"/>
      <c r="G50" s="403"/>
      <c r="H50" s="403"/>
      <c r="I50" s="361"/>
      <c r="J50" s="361"/>
      <c r="K50" s="357"/>
      <c r="L50" s="404" t="s">
        <v>134</v>
      </c>
      <c r="M50" s="404"/>
      <c r="N50" s="404"/>
      <c r="O50" s="404"/>
      <c r="P50" s="404"/>
      <c r="Q50" s="404"/>
      <c r="R50" s="404"/>
      <c r="S50" s="404"/>
      <c r="T50" s="404"/>
      <c r="U50" s="404"/>
      <c r="V50" s="404"/>
      <c r="W50" s="357"/>
      <c r="X50" s="352"/>
      <c r="Y50" s="365" t="s">
        <v>241</v>
      </c>
      <c r="Z50" s="365" t="s">
        <v>242</v>
      </c>
      <c r="AA50" s="365" t="s">
        <v>243</v>
      </c>
      <c r="AB50" s="331"/>
    </row>
    <row r="51" spans="1:28" s="337" customFormat="1" ht="30.75" thickBot="1">
      <c r="A51" s="356" t="s">
        <v>105</v>
      </c>
      <c r="B51" s="356" t="s">
        <v>75</v>
      </c>
      <c r="C51" s="356" t="s">
        <v>106</v>
      </c>
      <c r="D51" s="356" t="s">
        <v>107</v>
      </c>
      <c r="E51" s="356" t="s">
        <v>116</v>
      </c>
      <c r="F51" s="356" t="s">
        <v>117</v>
      </c>
      <c r="G51" s="356" t="s">
        <v>118</v>
      </c>
      <c r="H51" s="356" t="s">
        <v>119</v>
      </c>
      <c r="I51" s="311"/>
      <c r="J51" s="356" t="s">
        <v>120</v>
      </c>
      <c r="K51" s="357"/>
      <c r="L51" s="356" t="s">
        <v>105</v>
      </c>
      <c r="M51" s="356" t="s">
        <v>75</v>
      </c>
      <c r="N51" s="356" t="s">
        <v>106</v>
      </c>
      <c r="O51" s="356" t="s">
        <v>107</v>
      </c>
      <c r="P51" s="356" t="s">
        <v>116</v>
      </c>
      <c r="Q51" s="356" t="s">
        <v>117</v>
      </c>
      <c r="R51" s="356" t="s">
        <v>118</v>
      </c>
      <c r="S51" s="356" t="s">
        <v>119</v>
      </c>
      <c r="T51" s="356" t="s">
        <v>135</v>
      </c>
      <c r="U51" s="356" t="s">
        <v>136</v>
      </c>
      <c r="V51" s="356" t="s">
        <v>137</v>
      </c>
      <c r="W51" s="357"/>
      <c r="X51" s="344" t="s">
        <v>240</v>
      </c>
      <c r="Y51" s="336">
        <v>583.42999999999995</v>
      </c>
      <c r="Z51" s="336">
        <v>797.7</v>
      </c>
      <c r="AA51" s="336">
        <v>1159.58</v>
      </c>
      <c r="AB51" s="329" t="s">
        <v>280</v>
      </c>
    </row>
    <row r="52" spans="1:28" s="337" customFormat="1">
      <c r="A52" s="367">
        <v>43560</v>
      </c>
      <c r="B52" s="356">
        <v>1</v>
      </c>
      <c r="C52" s="367" t="s">
        <v>197</v>
      </c>
      <c r="D52" s="367" t="s">
        <v>198</v>
      </c>
      <c r="E52" s="356">
        <v>0</v>
      </c>
      <c r="F52" s="356">
        <v>0</v>
      </c>
      <c r="G52" s="356">
        <v>0</v>
      </c>
      <c r="H52" s="356">
        <v>0</v>
      </c>
      <c r="I52" s="333"/>
      <c r="J52" s="315">
        <f t="shared" ref="J52:J57" si="31">E52/B52</f>
        <v>0</v>
      </c>
      <c r="K52" s="357"/>
      <c r="L52" s="367">
        <v>43560</v>
      </c>
      <c r="M52" s="356">
        <v>1</v>
      </c>
      <c r="N52" s="367" t="s">
        <v>197</v>
      </c>
      <c r="O52" s="367" t="s">
        <v>198</v>
      </c>
      <c r="P52" s="356">
        <v>0</v>
      </c>
      <c r="Q52" s="316">
        <f t="shared" ref="Q52:Q57" si="32">((J52*8.34*255)*M52)/2000</f>
        <v>0</v>
      </c>
      <c r="R52" s="316">
        <f t="shared" ref="R52:R57" si="33">((J52*8.34*260)*M52)/2000</f>
        <v>0</v>
      </c>
      <c r="S52" s="316">
        <f t="shared" ref="S52:S57" si="34">((J52*8.34*40)*M52)/2000</f>
        <v>0</v>
      </c>
      <c r="T52" s="360">
        <f t="shared" ref="T52:V57" si="35">Q52-F52</f>
        <v>0</v>
      </c>
      <c r="U52" s="360">
        <f t="shared" si="35"/>
        <v>0</v>
      </c>
      <c r="V52" s="360">
        <f t="shared" si="35"/>
        <v>0</v>
      </c>
      <c r="W52" s="357"/>
      <c r="X52" s="366"/>
      <c r="Y52" s="347">
        <f>T52*Y51</f>
        <v>0</v>
      </c>
      <c r="Z52" s="347">
        <f>U52*Z51</f>
        <v>0</v>
      </c>
      <c r="AA52" s="347">
        <f>V52*AA51</f>
        <v>0</v>
      </c>
      <c r="AB52" s="349">
        <f>SUM(Y52:AA52)</f>
        <v>0</v>
      </c>
    </row>
    <row r="53" spans="1:28" s="337" customFormat="1">
      <c r="A53" s="308">
        <v>43627</v>
      </c>
      <c r="B53" s="358">
        <v>84</v>
      </c>
      <c r="C53" s="358" t="s">
        <v>188</v>
      </c>
      <c r="D53" s="358" t="s">
        <v>189</v>
      </c>
      <c r="E53" s="356">
        <v>4.87</v>
      </c>
      <c r="F53" s="356">
        <v>5</v>
      </c>
      <c r="G53" s="356">
        <v>5.0999999999999996</v>
      </c>
      <c r="H53" s="356">
        <v>0.78</v>
      </c>
      <c r="I53" s="333"/>
      <c r="J53" s="315">
        <f t="shared" si="31"/>
        <v>5.797619047619048E-2</v>
      </c>
      <c r="K53" s="357"/>
      <c r="L53" s="308">
        <v>43627</v>
      </c>
      <c r="M53" s="358">
        <v>84</v>
      </c>
      <c r="N53" s="358" t="s">
        <v>188</v>
      </c>
      <c r="O53" s="358" t="s">
        <v>189</v>
      </c>
      <c r="P53" s="356">
        <v>4.87</v>
      </c>
      <c r="Q53" s="316">
        <f>((J53*8.34*255)*M53)/2000</f>
        <v>5.1785145000000004</v>
      </c>
      <c r="R53" s="316">
        <f t="shared" si="33"/>
        <v>5.2800539999999998</v>
      </c>
      <c r="S53" s="316">
        <f t="shared" si="34"/>
        <v>0.81231600000000004</v>
      </c>
      <c r="T53" s="317">
        <f t="shared" si="35"/>
        <v>0.17851450000000035</v>
      </c>
      <c r="U53" s="317">
        <f t="shared" si="35"/>
        <v>0.18005400000000016</v>
      </c>
      <c r="V53" s="317">
        <f t="shared" si="35"/>
        <v>3.2316000000000011E-2</v>
      </c>
      <c r="W53" s="357"/>
      <c r="X53" s="363"/>
      <c r="Y53" s="323">
        <f>T53*Y51</f>
        <v>104.15071473500019</v>
      </c>
      <c r="Z53" s="323">
        <f>U53*Z51</f>
        <v>143.62907580000012</v>
      </c>
      <c r="AA53" s="323">
        <f>V53*AA51</f>
        <v>37.472987280000012</v>
      </c>
      <c r="AB53" s="341">
        <f>SUM(Y53:AA53)</f>
        <v>285.25277781500029</v>
      </c>
    </row>
    <row r="54" spans="1:28" s="337" customFormat="1">
      <c r="A54" s="308">
        <v>43693</v>
      </c>
      <c r="B54" s="358">
        <v>78</v>
      </c>
      <c r="C54" s="358" t="s">
        <v>190</v>
      </c>
      <c r="D54" s="358" t="s">
        <v>191</v>
      </c>
      <c r="E54" s="356">
        <v>4.45</v>
      </c>
      <c r="F54" s="356">
        <v>4.5599999999999996</v>
      </c>
      <c r="G54" s="356">
        <v>4.6500000000000004</v>
      </c>
      <c r="H54" s="356">
        <v>0.72</v>
      </c>
      <c r="I54" s="333"/>
      <c r="J54" s="315">
        <f t="shared" si="31"/>
        <v>5.7051282051282057E-2</v>
      </c>
      <c r="K54" s="357"/>
      <c r="L54" s="308">
        <v>43693</v>
      </c>
      <c r="M54" s="358">
        <v>78</v>
      </c>
      <c r="N54" s="358" t="s">
        <v>190</v>
      </c>
      <c r="O54" s="358" t="s">
        <v>191</v>
      </c>
      <c r="P54" s="356">
        <v>4.45</v>
      </c>
      <c r="Q54" s="316">
        <f t="shared" si="32"/>
        <v>4.7319075000000002</v>
      </c>
      <c r="R54" s="316">
        <f t="shared" si="33"/>
        <v>4.8246900000000004</v>
      </c>
      <c r="S54" s="316">
        <f t="shared" si="34"/>
        <v>0.74226000000000003</v>
      </c>
      <c r="T54" s="317">
        <f t="shared" si="35"/>
        <v>0.17190750000000055</v>
      </c>
      <c r="U54" s="317">
        <f t="shared" si="35"/>
        <v>0.17469000000000001</v>
      </c>
      <c r="V54" s="317">
        <f t="shared" si="35"/>
        <v>2.2260000000000058E-2</v>
      </c>
      <c r="W54" s="357"/>
      <c r="X54" s="363"/>
      <c r="Y54" s="323">
        <f>T54*Y51</f>
        <v>100.2959927250003</v>
      </c>
      <c r="Z54" s="323">
        <f>U54*Z51</f>
        <v>139.35021300000002</v>
      </c>
      <c r="AA54" s="323">
        <f>V54*AA51</f>
        <v>25.812250800000065</v>
      </c>
      <c r="AB54" s="349">
        <f t="shared" ref="AB54:AB56" si="36">SUM(Y54:AA54)</f>
        <v>265.45845652500037</v>
      </c>
    </row>
    <row r="55" spans="1:28" s="337" customFormat="1">
      <c r="A55" s="308">
        <v>43789</v>
      </c>
      <c r="B55" s="358">
        <v>63</v>
      </c>
      <c r="C55" s="358" t="s">
        <v>192</v>
      </c>
      <c r="D55" s="358" t="s">
        <v>193</v>
      </c>
      <c r="E55" s="356">
        <v>4</v>
      </c>
      <c r="F55" s="356">
        <v>4.12</v>
      </c>
      <c r="G55" s="356">
        <v>4.2</v>
      </c>
      <c r="H55" s="356">
        <v>0.64</v>
      </c>
      <c r="I55" s="333"/>
      <c r="J55" s="315">
        <f t="shared" si="31"/>
        <v>6.3492063492063489E-2</v>
      </c>
      <c r="K55" s="357"/>
      <c r="L55" s="308">
        <v>43789</v>
      </c>
      <c r="M55" s="358">
        <v>63</v>
      </c>
      <c r="N55" s="358" t="s">
        <v>192</v>
      </c>
      <c r="O55" s="358" t="s">
        <v>193</v>
      </c>
      <c r="P55" s="356">
        <v>4</v>
      </c>
      <c r="Q55" s="316">
        <f t="shared" si="32"/>
        <v>4.2534000000000001</v>
      </c>
      <c r="R55" s="316">
        <f t="shared" si="33"/>
        <v>4.3368000000000002</v>
      </c>
      <c r="S55" s="316">
        <f t="shared" si="34"/>
        <v>0.6671999999999999</v>
      </c>
      <c r="T55" s="317">
        <f t="shared" si="35"/>
        <v>0.13339999999999996</v>
      </c>
      <c r="U55" s="317">
        <f t="shared" si="35"/>
        <v>0.13680000000000003</v>
      </c>
      <c r="V55" s="317">
        <f t="shared" si="35"/>
        <v>2.7199999999999891E-2</v>
      </c>
      <c r="W55" s="357"/>
      <c r="X55" s="363"/>
      <c r="Y55" s="323">
        <f>T55*Y51</f>
        <v>77.829561999999967</v>
      </c>
      <c r="Z55" s="323">
        <f>U55*Z51</f>
        <v>109.12536000000003</v>
      </c>
      <c r="AA55" s="323">
        <f>V55*AA51</f>
        <v>31.54057599999987</v>
      </c>
      <c r="AB55" s="349">
        <f t="shared" si="36"/>
        <v>218.49549799999988</v>
      </c>
    </row>
    <row r="56" spans="1:28" s="337" customFormat="1">
      <c r="A56" s="308">
        <v>43811</v>
      </c>
      <c r="B56" s="358">
        <v>59</v>
      </c>
      <c r="C56" s="358" t="s">
        <v>194</v>
      </c>
      <c r="D56" s="358" t="s">
        <v>195</v>
      </c>
      <c r="E56" s="356">
        <v>3.9</v>
      </c>
      <c r="F56" s="356">
        <v>4.0199999999999996</v>
      </c>
      <c r="G56" s="356">
        <v>4.0999999999999996</v>
      </c>
      <c r="H56" s="356">
        <v>0.63</v>
      </c>
      <c r="I56" s="333"/>
      <c r="J56" s="315">
        <f t="shared" si="31"/>
        <v>6.6101694915254236E-2</v>
      </c>
      <c r="K56" s="357"/>
      <c r="L56" s="308">
        <v>43811</v>
      </c>
      <c r="M56" s="358">
        <v>59</v>
      </c>
      <c r="N56" s="358" t="s">
        <v>194</v>
      </c>
      <c r="O56" s="358" t="s">
        <v>195</v>
      </c>
      <c r="P56" s="356">
        <v>3.9</v>
      </c>
      <c r="Q56" s="316">
        <f t="shared" si="32"/>
        <v>4.1470650000000004</v>
      </c>
      <c r="R56" s="316">
        <f t="shared" si="33"/>
        <v>4.2283799999999996</v>
      </c>
      <c r="S56" s="316">
        <f t="shared" si="34"/>
        <v>0.65051999999999999</v>
      </c>
      <c r="T56" s="317">
        <f t="shared" si="35"/>
        <v>0.12706500000000087</v>
      </c>
      <c r="U56" s="317">
        <f t="shared" si="35"/>
        <v>0.12837999999999994</v>
      </c>
      <c r="V56" s="317">
        <f t="shared" si="35"/>
        <v>2.0519999999999983E-2</v>
      </c>
      <c r="W56" s="357"/>
      <c r="X56" s="363"/>
      <c r="Y56" s="323">
        <f>T56*Y51</f>
        <v>74.1335329500005</v>
      </c>
      <c r="Z56" s="323">
        <f>U56*Z51</f>
        <v>102.40872599999996</v>
      </c>
      <c r="AA56" s="323">
        <f>V56*AA51</f>
        <v>23.794581599999979</v>
      </c>
      <c r="AB56" s="349">
        <f t="shared" si="36"/>
        <v>200.33684055000046</v>
      </c>
    </row>
    <row r="57" spans="1:28" s="337" customFormat="1" ht="15.75" thickBot="1">
      <c r="A57" s="308">
        <v>43523</v>
      </c>
      <c r="B57" s="358">
        <v>80</v>
      </c>
      <c r="C57" s="358" t="s">
        <v>176</v>
      </c>
      <c r="D57" s="358" t="s">
        <v>196</v>
      </c>
      <c r="E57" s="356">
        <v>5.04</v>
      </c>
      <c r="F57" s="356">
        <v>5.19</v>
      </c>
      <c r="G57" s="356">
        <v>5.29</v>
      </c>
      <c r="H57" s="356">
        <v>0.81</v>
      </c>
      <c r="I57" s="333"/>
      <c r="J57" s="315">
        <f t="shared" si="31"/>
        <v>6.3E-2</v>
      </c>
      <c r="K57" s="357"/>
      <c r="L57" s="308">
        <v>43523</v>
      </c>
      <c r="M57" s="358">
        <v>80</v>
      </c>
      <c r="N57" s="358" t="s">
        <v>176</v>
      </c>
      <c r="O57" s="358" t="s">
        <v>196</v>
      </c>
      <c r="P57" s="356">
        <v>5.04</v>
      </c>
      <c r="Q57" s="316">
        <f t="shared" si="32"/>
        <v>5.3592839999999997</v>
      </c>
      <c r="R57" s="316">
        <f t="shared" si="33"/>
        <v>5.4643679999999994</v>
      </c>
      <c r="S57" s="316">
        <f t="shared" si="34"/>
        <v>0.84067199999999997</v>
      </c>
      <c r="T57" s="317">
        <f t="shared" si="35"/>
        <v>0.16928399999999932</v>
      </c>
      <c r="U57" s="317">
        <f t="shared" si="35"/>
        <v>0.17436799999999941</v>
      </c>
      <c r="V57" s="317">
        <f t="shared" si="35"/>
        <v>3.0671999999999922E-2</v>
      </c>
      <c r="W57" s="357"/>
      <c r="X57" s="318"/>
      <c r="Y57" s="336">
        <f>T57*Y51</f>
        <v>98.765364119999603</v>
      </c>
      <c r="Z57" s="336">
        <f>U57*Z51</f>
        <v>139.09335359999955</v>
      </c>
      <c r="AA57" s="336">
        <f>V57*AA51</f>
        <v>35.566637759999907</v>
      </c>
      <c r="AB57" s="351">
        <f>SUM(Y57:AA57)</f>
        <v>273.4253554799991</v>
      </c>
    </row>
    <row r="58" spans="1:28" ht="15.75" thickBot="1">
      <c r="AB58" s="319">
        <f>SUM(AB52:AB57)</f>
        <v>1242.96892837</v>
      </c>
    </row>
    <row r="59" spans="1:28" s="362" customFormat="1" ht="15.75" thickBot="1">
      <c r="A59" s="361"/>
      <c r="B59" s="361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361"/>
      <c r="Z59" s="361"/>
      <c r="AA59" s="361"/>
      <c r="AB59" s="332"/>
    </row>
    <row r="60" spans="1:28">
      <c r="X60" s="397" t="s">
        <v>274</v>
      </c>
      <c r="Y60" s="398"/>
      <c r="Z60" s="398"/>
      <c r="AA60" s="398"/>
      <c r="AB60" s="399"/>
    </row>
    <row r="61" spans="1:28" s="337" customFormat="1">
      <c r="A61" s="403" t="s">
        <v>175</v>
      </c>
      <c r="B61" s="403"/>
      <c r="C61" s="403"/>
      <c r="D61" s="403"/>
      <c r="E61" s="403"/>
      <c r="F61" s="403"/>
      <c r="G61" s="403"/>
      <c r="H61" s="403"/>
      <c r="I61" s="361"/>
      <c r="J61" s="361"/>
      <c r="K61" s="357"/>
      <c r="L61" s="404" t="s">
        <v>134</v>
      </c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357"/>
      <c r="X61" s="352"/>
      <c r="Y61" s="365" t="s">
        <v>241</v>
      </c>
      <c r="Z61" s="365" t="s">
        <v>242</v>
      </c>
      <c r="AA61" s="365" t="s">
        <v>243</v>
      </c>
      <c r="AB61" s="331"/>
    </row>
    <row r="62" spans="1:28" s="337" customFormat="1" ht="30.75" thickBot="1">
      <c r="A62" s="356" t="s">
        <v>105</v>
      </c>
      <c r="B62" s="356" t="s">
        <v>75</v>
      </c>
      <c r="C62" s="356" t="s">
        <v>106</v>
      </c>
      <c r="D62" s="356" t="s">
        <v>107</v>
      </c>
      <c r="E62" s="356" t="s">
        <v>116</v>
      </c>
      <c r="F62" s="356" t="s">
        <v>117</v>
      </c>
      <c r="G62" s="356" t="s">
        <v>118</v>
      </c>
      <c r="H62" s="356" t="s">
        <v>119</v>
      </c>
      <c r="I62" s="311"/>
      <c r="J62" s="356" t="s">
        <v>120</v>
      </c>
      <c r="K62" s="357"/>
      <c r="L62" s="356" t="s">
        <v>105</v>
      </c>
      <c r="M62" s="356" t="s">
        <v>75</v>
      </c>
      <c r="N62" s="356" t="s">
        <v>106</v>
      </c>
      <c r="O62" s="356" t="s">
        <v>107</v>
      </c>
      <c r="P62" s="356" t="s">
        <v>116</v>
      </c>
      <c r="Q62" s="356" t="s">
        <v>117</v>
      </c>
      <c r="R62" s="356" t="s">
        <v>118</v>
      </c>
      <c r="S62" s="356" t="s">
        <v>119</v>
      </c>
      <c r="T62" s="356" t="s">
        <v>135</v>
      </c>
      <c r="U62" s="356" t="s">
        <v>136</v>
      </c>
      <c r="V62" s="356" t="s">
        <v>137</v>
      </c>
      <c r="W62" s="357"/>
      <c r="X62" s="344" t="s">
        <v>240</v>
      </c>
      <c r="Y62" s="336">
        <v>573.41999999999996</v>
      </c>
      <c r="Z62" s="336">
        <v>777.86</v>
      </c>
      <c r="AA62" s="336">
        <v>1137.48</v>
      </c>
      <c r="AB62" s="329" t="s">
        <v>280</v>
      </c>
    </row>
    <row r="63" spans="1:28" s="337" customFormat="1">
      <c r="A63" s="308">
        <v>43924</v>
      </c>
      <c r="B63" s="358">
        <v>4</v>
      </c>
      <c r="C63" s="356" t="s">
        <v>176</v>
      </c>
      <c r="D63" s="367" t="s">
        <v>177</v>
      </c>
      <c r="E63" s="356">
        <v>0.02</v>
      </c>
      <c r="F63" s="356">
        <v>0.01</v>
      </c>
      <c r="G63" s="356">
        <v>0.01</v>
      </c>
      <c r="H63" s="356">
        <v>0</v>
      </c>
      <c r="I63" s="333"/>
      <c r="J63" s="315">
        <f t="shared" ref="J63:J68" si="37">E63/B63</f>
        <v>5.0000000000000001E-3</v>
      </c>
      <c r="K63" s="357"/>
      <c r="L63" s="308">
        <v>43924</v>
      </c>
      <c r="M63" s="358">
        <v>4</v>
      </c>
      <c r="N63" s="356" t="s">
        <v>176</v>
      </c>
      <c r="O63" s="367" t="s">
        <v>177</v>
      </c>
      <c r="P63" s="356">
        <v>0.02</v>
      </c>
      <c r="Q63" s="316">
        <f t="shared" ref="Q63:Q68" si="38">((J63*8.34*255)*M63)/2000</f>
        <v>2.1267000000000001E-2</v>
      </c>
      <c r="R63" s="316">
        <f t="shared" ref="R63:R68" si="39">((J63*8.34*260)*M63)/2000</f>
        <v>2.1684000000000002E-2</v>
      </c>
      <c r="S63" s="316">
        <f t="shared" ref="S63:S68" si="40">((J63*8.34*40)*M63)/2000</f>
        <v>3.3360000000000004E-3</v>
      </c>
      <c r="T63" s="317">
        <f t="shared" ref="T63:V68" si="41">Q63-F63</f>
        <v>1.1267000000000001E-2</v>
      </c>
      <c r="U63" s="317">
        <f t="shared" si="41"/>
        <v>1.1684000000000002E-2</v>
      </c>
      <c r="V63" s="360">
        <f>S63-H63</f>
        <v>3.3360000000000004E-3</v>
      </c>
      <c r="W63" s="357"/>
      <c r="X63" s="366"/>
      <c r="Y63" s="347">
        <f>T63*Y62</f>
        <v>6.4607231399999998</v>
      </c>
      <c r="Z63" s="347">
        <f>U63*Z62</f>
        <v>9.0885162400000006</v>
      </c>
      <c r="AA63" s="347">
        <v>0</v>
      </c>
      <c r="AB63" s="349">
        <f>SUM(Y63:AA63)</f>
        <v>15.549239379999999</v>
      </c>
    </row>
    <row r="64" spans="1:28" s="337" customFormat="1">
      <c r="A64" s="308">
        <v>44029</v>
      </c>
      <c r="B64" s="356">
        <v>120</v>
      </c>
      <c r="C64" s="356" t="s">
        <v>178</v>
      </c>
      <c r="D64" s="356" t="s">
        <v>179</v>
      </c>
      <c r="E64" s="356">
        <v>4.4400000000000004</v>
      </c>
      <c r="F64" s="356">
        <v>4.46</v>
      </c>
      <c r="G64" s="356">
        <v>4.55</v>
      </c>
      <c r="H64" s="356">
        <v>0.7</v>
      </c>
      <c r="I64" s="333"/>
      <c r="J64" s="315">
        <f t="shared" si="37"/>
        <v>3.7000000000000005E-2</v>
      </c>
      <c r="K64" s="357"/>
      <c r="L64" s="308">
        <v>44029</v>
      </c>
      <c r="M64" s="356">
        <v>120</v>
      </c>
      <c r="N64" s="356" t="s">
        <v>178</v>
      </c>
      <c r="O64" s="356" t="s">
        <v>179</v>
      </c>
      <c r="P64" s="356">
        <v>4.4400000000000004</v>
      </c>
      <c r="Q64" s="316">
        <f t="shared" si="38"/>
        <v>4.7212740000000002</v>
      </c>
      <c r="R64" s="316">
        <f t="shared" si="39"/>
        <v>4.8138480000000001</v>
      </c>
      <c r="S64" s="316">
        <f t="shared" si="40"/>
        <v>0.74059200000000014</v>
      </c>
      <c r="T64" s="317">
        <f t="shared" si="41"/>
        <v>0.26127400000000023</v>
      </c>
      <c r="U64" s="317">
        <f t="shared" si="41"/>
        <v>0.2638480000000003</v>
      </c>
      <c r="V64" s="317">
        <f t="shared" si="41"/>
        <v>4.0592000000000183E-2</v>
      </c>
      <c r="W64" s="357"/>
      <c r="X64" s="363"/>
      <c r="Y64" s="323">
        <f>T64*Y62</f>
        <v>149.81973708000012</v>
      </c>
      <c r="Z64" s="323">
        <f>U64*Z62</f>
        <v>205.23680528000025</v>
      </c>
      <c r="AA64" s="323">
        <f>V64*AA62</f>
        <v>46.17258816000021</v>
      </c>
      <c r="AB64" s="349">
        <f t="shared" ref="AB64:AB67" si="42">SUM(Y64:AA64)</f>
        <v>401.22913052000058</v>
      </c>
    </row>
    <row r="65" spans="1:28" s="337" customFormat="1">
      <c r="A65" s="308">
        <v>44078</v>
      </c>
      <c r="B65" s="358">
        <v>84</v>
      </c>
      <c r="C65" s="356" t="s">
        <v>180</v>
      </c>
      <c r="D65" s="356" t="s">
        <v>181</v>
      </c>
      <c r="E65" s="356">
        <v>0.59</v>
      </c>
      <c r="F65" s="356">
        <v>0.45</v>
      </c>
      <c r="G65" s="356">
        <v>0.46</v>
      </c>
      <c r="H65" s="356">
        <v>7.0000000000000007E-2</v>
      </c>
      <c r="I65" s="333"/>
      <c r="J65" s="315">
        <f t="shared" si="37"/>
        <v>7.0238095238095233E-3</v>
      </c>
      <c r="K65" s="357"/>
      <c r="L65" s="308">
        <v>44078</v>
      </c>
      <c r="M65" s="358">
        <v>84</v>
      </c>
      <c r="N65" s="356" t="s">
        <v>180</v>
      </c>
      <c r="O65" s="356" t="s">
        <v>181</v>
      </c>
      <c r="P65" s="356">
        <v>0.59</v>
      </c>
      <c r="Q65" s="316">
        <f t="shared" si="38"/>
        <v>0.6273765</v>
      </c>
      <c r="R65" s="316">
        <f t="shared" si="39"/>
        <v>0.63967799999999997</v>
      </c>
      <c r="S65" s="316">
        <f t="shared" si="40"/>
        <v>9.8411999999999986E-2</v>
      </c>
      <c r="T65" s="317">
        <f t="shared" si="41"/>
        <v>0.17737649999999999</v>
      </c>
      <c r="U65" s="317">
        <f t="shared" si="41"/>
        <v>0.17967799999999995</v>
      </c>
      <c r="V65" s="317">
        <f t="shared" si="41"/>
        <v>2.8411999999999979E-2</v>
      </c>
      <c r="W65" s="357"/>
      <c r="X65" s="363"/>
      <c r="Y65" s="323">
        <f>T65*Y62</f>
        <v>101.71123262999998</v>
      </c>
      <c r="Z65" s="323">
        <f>U65*Z62</f>
        <v>139.76432907999995</v>
      </c>
      <c r="AA65" s="323">
        <f>V65*AA62</f>
        <v>32.318081759999977</v>
      </c>
      <c r="AB65" s="349">
        <f t="shared" si="42"/>
        <v>273.79364346999989</v>
      </c>
    </row>
    <row r="66" spans="1:28" s="337" customFormat="1">
      <c r="A66" s="308">
        <v>44148</v>
      </c>
      <c r="B66" s="358">
        <v>52</v>
      </c>
      <c r="C66" s="356" t="s">
        <v>182</v>
      </c>
      <c r="D66" s="356" t="s">
        <v>183</v>
      </c>
      <c r="E66" s="356">
        <v>0.79</v>
      </c>
      <c r="F66" s="356">
        <v>0.72</v>
      </c>
      <c r="G66" s="356">
        <v>0.74</v>
      </c>
      <c r="H66" s="356">
        <v>0.11</v>
      </c>
      <c r="I66" s="333"/>
      <c r="J66" s="315">
        <f t="shared" si="37"/>
        <v>1.5192307692307692E-2</v>
      </c>
      <c r="K66" s="357"/>
      <c r="L66" s="308">
        <v>44148</v>
      </c>
      <c r="M66" s="358">
        <v>52</v>
      </c>
      <c r="N66" s="356" t="s">
        <v>182</v>
      </c>
      <c r="O66" s="356" t="s">
        <v>183</v>
      </c>
      <c r="P66" s="356">
        <v>0.79</v>
      </c>
      <c r="Q66" s="316">
        <f t="shared" si="38"/>
        <v>0.84004649999999992</v>
      </c>
      <c r="R66" s="316">
        <f t="shared" si="39"/>
        <v>0.85651799999999989</v>
      </c>
      <c r="S66" s="316">
        <f t="shared" si="40"/>
        <v>0.131772</v>
      </c>
      <c r="T66" s="317">
        <f t="shared" si="41"/>
        <v>0.12004649999999994</v>
      </c>
      <c r="U66" s="317">
        <f t="shared" si="41"/>
        <v>0.1165179999999999</v>
      </c>
      <c r="V66" s="317">
        <f t="shared" si="41"/>
        <v>2.1772E-2</v>
      </c>
      <c r="W66" s="357"/>
      <c r="X66" s="363"/>
      <c r="Y66" s="323">
        <f>T66*Y62</f>
        <v>68.837064029999965</v>
      </c>
      <c r="Z66" s="323">
        <f>U66*Z62</f>
        <v>90.63469147999993</v>
      </c>
      <c r="AA66" s="323">
        <f>V66*AA62</f>
        <v>24.76521456</v>
      </c>
      <c r="AB66" s="349">
        <f t="shared" si="42"/>
        <v>184.2369700699999</v>
      </c>
    </row>
    <row r="67" spans="1:28" s="337" customFormat="1">
      <c r="A67" s="308">
        <v>44225</v>
      </c>
      <c r="B67" s="358">
        <v>77</v>
      </c>
      <c r="C67" s="356" t="s">
        <v>184</v>
      </c>
      <c r="D67" s="356" t="s">
        <v>185</v>
      </c>
      <c r="E67" s="356">
        <v>0.72</v>
      </c>
      <c r="F67" s="356">
        <v>0.59</v>
      </c>
      <c r="G67" s="356">
        <v>0.6</v>
      </c>
      <c r="H67" s="356">
        <v>0.09</v>
      </c>
      <c r="I67" s="333"/>
      <c r="J67" s="315">
        <f t="shared" si="37"/>
        <v>9.3506493506493506E-3</v>
      </c>
      <c r="K67" s="357"/>
      <c r="L67" s="308">
        <v>44225</v>
      </c>
      <c r="M67" s="358">
        <v>77</v>
      </c>
      <c r="N67" s="356" t="s">
        <v>184</v>
      </c>
      <c r="O67" s="356" t="s">
        <v>185</v>
      </c>
      <c r="P67" s="356">
        <v>0.72</v>
      </c>
      <c r="Q67" s="316">
        <f t="shared" si="38"/>
        <v>0.76561200000000007</v>
      </c>
      <c r="R67" s="316">
        <f t="shared" si="39"/>
        <v>0.78062399999999998</v>
      </c>
      <c r="S67" s="316">
        <f t="shared" si="40"/>
        <v>0.12009600000000001</v>
      </c>
      <c r="T67" s="317">
        <f t="shared" si="41"/>
        <v>0.1756120000000001</v>
      </c>
      <c r="U67" s="317">
        <f t="shared" si="41"/>
        <v>0.18062400000000001</v>
      </c>
      <c r="V67" s="317">
        <f t="shared" si="41"/>
        <v>3.0096000000000012E-2</v>
      </c>
      <c r="W67" s="357"/>
      <c r="X67" s="363"/>
      <c r="Y67" s="323">
        <f>T67*Y62</f>
        <v>100.69943304000005</v>
      </c>
      <c r="Z67" s="323">
        <f>U67*Z62</f>
        <v>140.50018464000001</v>
      </c>
      <c r="AA67" s="323">
        <f>V67*AA62</f>
        <v>34.233598080000014</v>
      </c>
      <c r="AB67" s="349">
        <f t="shared" si="42"/>
        <v>275.43321576000011</v>
      </c>
    </row>
    <row r="68" spans="1:28" s="337" customFormat="1" ht="15.75" thickBot="1">
      <c r="A68" s="308">
        <v>44260</v>
      </c>
      <c r="B68" s="358">
        <v>29</v>
      </c>
      <c r="C68" s="356" t="s">
        <v>163</v>
      </c>
      <c r="D68" s="356" t="s">
        <v>186</v>
      </c>
      <c r="E68" s="356">
        <v>0.23</v>
      </c>
      <c r="F68" s="356">
        <v>0.18</v>
      </c>
      <c r="G68" s="356">
        <v>0.19</v>
      </c>
      <c r="H68" s="356">
        <v>0.03</v>
      </c>
      <c r="I68" s="333"/>
      <c r="J68" s="315">
        <f t="shared" si="37"/>
        <v>7.9310344827586213E-3</v>
      </c>
      <c r="K68" s="357"/>
      <c r="L68" s="308">
        <v>44260</v>
      </c>
      <c r="M68" s="358">
        <v>29</v>
      </c>
      <c r="N68" s="356" t="s">
        <v>163</v>
      </c>
      <c r="O68" s="356" t="s">
        <v>186</v>
      </c>
      <c r="P68" s="356">
        <v>0.23</v>
      </c>
      <c r="Q68" s="316">
        <f t="shared" si="38"/>
        <v>0.24457050000000005</v>
      </c>
      <c r="R68" s="316">
        <f t="shared" si="39"/>
        <v>0.24936600000000003</v>
      </c>
      <c r="S68" s="316">
        <f t="shared" si="40"/>
        <v>3.8364000000000002E-2</v>
      </c>
      <c r="T68" s="317">
        <f t="shared" si="41"/>
        <v>6.4570500000000058E-2</v>
      </c>
      <c r="U68" s="317">
        <f t="shared" si="41"/>
        <v>5.936600000000003E-2</v>
      </c>
      <c r="V68" s="317">
        <f t="shared" si="41"/>
        <v>8.3640000000000034E-3</v>
      </c>
      <c r="W68" s="357"/>
      <c r="X68" s="318"/>
      <c r="Y68" s="336">
        <f>T68*Y62</f>
        <v>37.026016110000029</v>
      </c>
      <c r="Z68" s="336">
        <f>U68*Z62</f>
        <v>46.178436760000025</v>
      </c>
      <c r="AA68" s="336">
        <f>V68*AA62</f>
        <v>9.5138827200000033</v>
      </c>
      <c r="AB68" s="351">
        <f>SUM(Y68:AA68)</f>
        <v>92.718335590000052</v>
      </c>
    </row>
    <row r="69" spans="1:28" ht="15.75" thickBot="1">
      <c r="AB69" s="346">
        <f>SUM(AB63:AB68)</f>
        <v>1242.9605347900006</v>
      </c>
    </row>
    <row r="70" spans="1:28" s="359" customFormat="1" ht="15.75" thickBot="1">
      <c r="A70" s="333"/>
      <c r="B70" s="333"/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2"/>
    </row>
    <row r="71" spans="1:28">
      <c r="X71" s="397" t="s">
        <v>275</v>
      </c>
      <c r="Y71" s="398"/>
      <c r="Z71" s="398"/>
      <c r="AA71" s="398"/>
      <c r="AB71" s="399"/>
    </row>
    <row r="72" spans="1:28" s="337" customFormat="1">
      <c r="A72" s="403" t="s">
        <v>162</v>
      </c>
      <c r="B72" s="403"/>
      <c r="C72" s="403"/>
      <c r="D72" s="403"/>
      <c r="E72" s="403"/>
      <c r="F72" s="403"/>
      <c r="G72" s="403"/>
      <c r="H72" s="403"/>
      <c r="I72" s="361"/>
      <c r="J72" s="361"/>
      <c r="K72" s="357"/>
      <c r="L72" s="404" t="s">
        <v>134</v>
      </c>
      <c r="M72" s="404"/>
      <c r="N72" s="404"/>
      <c r="O72" s="404"/>
      <c r="P72" s="404"/>
      <c r="Q72" s="404"/>
      <c r="R72" s="404"/>
      <c r="S72" s="404"/>
      <c r="T72" s="404"/>
      <c r="U72" s="404"/>
      <c r="V72" s="404"/>
      <c r="W72" s="357"/>
      <c r="X72" s="352"/>
      <c r="Y72" s="365" t="s">
        <v>241</v>
      </c>
      <c r="Z72" s="365" t="s">
        <v>242</v>
      </c>
      <c r="AA72" s="365" t="s">
        <v>243</v>
      </c>
      <c r="AB72" s="331"/>
    </row>
    <row r="73" spans="1:28" s="337" customFormat="1" ht="30.75" thickBot="1">
      <c r="A73" s="356" t="s">
        <v>105</v>
      </c>
      <c r="B73" s="356" t="s">
        <v>75</v>
      </c>
      <c r="C73" s="356" t="s">
        <v>106</v>
      </c>
      <c r="D73" s="356" t="s">
        <v>107</v>
      </c>
      <c r="E73" s="356" t="s">
        <v>116</v>
      </c>
      <c r="F73" s="356" t="s">
        <v>117</v>
      </c>
      <c r="G73" s="356" t="s">
        <v>118</v>
      </c>
      <c r="H73" s="356" t="s">
        <v>119</v>
      </c>
      <c r="I73" s="311"/>
      <c r="J73" s="356" t="s">
        <v>120</v>
      </c>
      <c r="K73" s="357"/>
      <c r="L73" s="356" t="s">
        <v>105</v>
      </c>
      <c r="M73" s="356" t="s">
        <v>75</v>
      </c>
      <c r="N73" s="356" t="s">
        <v>106</v>
      </c>
      <c r="O73" s="356" t="s">
        <v>107</v>
      </c>
      <c r="P73" s="356" t="s">
        <v>116</v>
      </c>
      <c r="Q73" s="356" t="s">
        <v>117</v>
      </c>
      <c r="R73" s="356" t="s">
        <v>118</v>
      </c>
      <c r="S73" s="356" t="s">
        <v>119</v>
      </c>
      <c r="T73" s="356" t="s">
        <v>135</v>
      </c>
      <c r="U73" s="356" t="s">
        <v>136</v>
      </c>
      <c r="V73" s="356" t="s">
        <v>137</v>
      </c>
      <c r="W73" s="357"/>
      <c r="X73" s="344" t="s">
        <v>240</v>
      </c>
      <c r="Y73" s="336">
        <v>590.61</v>
      </c>
      <c r="Z73" s="336">
        <v>832.79</v>
      </c>
      <c r="AA73" s="336">
        <v>1116.72</v>
      </c>
      <c r="AB73" s="329" t="s">
        <v>280</v>
      </c>
    </row>
    <row r="74" spans="1:28" s="337" customFormat="1">
      <c r="A74" s="308">
        <v>44302</v>
      </c>
      <c r="B74" s="358">
        <v>48</v>
      </c>
      <c r="C74" s="367" t="s">
        <v>163</v>
      </c>
      <c r="D74" s="367" t="s">
        <v>164</v>
      </c>
      <c r="E74" s="356">
        <v>0.25</v>
      </c>
      <c r="F74" s="356">
        <v>0.16</v>
      </c>
      <c r="G74" s="356">
        <v>0.16</v>
      </c>
      <c r="H74" s="356">
        <v>0.02</v>
      </c>
      <c r="I74" s="333"/>
      <c r="J74" s="315">
        <f t="shared" ref="J74:J80" si="43">E74/B74</f>
        <v>5.208333333333333E-3</v>
      </c>
      <c r="K74" s="357"/>
      <c r="L74" s="308">
        <v>44302</v>
      </c>
      <c r="M74" s="358">
        <v>48</v>
      </c>
      <c r="N74" s="367" t="s">
        <v>163</v>
      </c>
      <c r="O74" s="367" t="s">
        <v>164</v>
      </c>
      <c r="P74" s="356">
        <v>0.25</v>
      </c>
      <c r="Q74" s="316">
        <f t="shared" ref="Q74:Q80" si="44">((J74*8.34*255)*M74)/2000</f>
        <v>0.2658375</v>
      </c>
      <c r="R74" s="316">
        <f t="shared" ref="R74:R80" si="45">((J74*8.34*260)*M74)/2000</f>
        <v>0.27104999999999996</v>
      </c>
      <c r="S74" s="316">
        <f t="shared" ref="S74:S80" si="46">((J74*8.34*40)*M74)/2000</f>
        <v>4.1699999999999994E-2</v>
      </c>
      <c r="T74" s="317">
        <f t="shared" ref="T74:V80" si="47">Q74-F74</f>
        <v>0.1058375</v>
      </c>
      <c r="U74" s="317">
        <f t="shared" si="47"/>
        <v>0.11104999999999995</v>
      </c>
      <c r="V74" s="317">
        <f t="shared" si="47"/>
        <v>2.1699999999999994E-2</v>
      </c>
      <c r="W74" s="357"/>
      <c r="X74" s="366"/>
      <c r="Y74" s="347">
        <f>T74*Y73</f>
        <v>62.508685875000005</v>
      </c>
      <c r="Z74" s="347">
        <f>U74*Z73</f>
        <v>92.481329499999958</v>
      </c>
      <c r="AA74" s="347">
        <f>V74*AA73</f>
        <v>24.232823999999994</v>
      </c>
      <c r="AB74" s="349">
        <f>SUM(Y74:AA74)</f>
        <v>179.22283937499995</v>
      </c>
    </row>
    <row r="75" spans="1:28" s="337" customFormat="1">
      <c r="A75" s="308">
        <v>44365</v>
      </c>
      <c r="B75" s="358">
        <v>67</v>
      </c>
      <c r="C75" s="356" t="s">
        <v>165</v>
      </c>
      <c r="D75" s="356" t="s">
        <v>166</v>
      </c>
      <c r="E75" s="356">
        <v>2.72</v>
      </c>
      <c r="F75" s="356">
        <v>2.75</v>
      </c>
      <c r="G75" s="356">
        <v>2.8</v>
      </c>
      <c r="H75" s="356">
        <v>0.43</v>
      </c>
      <c r="I75" s="333"/>
      <c r="J75" s="315">
        <f t="shared" si="43"/>
        <v>4.059701492537314E-2</v>
      </c>
      <c r="K75" s="357"/>
      <c r="L75" s="308">
        <v>44365</v>
      </c>
      <c r="M75" s="358">
        <v>67</v>
      </c>
      <c r="N75" s="356" t="s">
        <v>165</v>
      </c>
      <c r="O75" s="356" t="s">
        <v>166</v>
      </c>
      <c r="P75" s="356">
        <v>2.72</v>
      </c>
      <c r="Q75" s="316">
        <f t="shared" si="44"/>
        <v>2.892312</v>
      </c>
      <c r="R75" s="316">
        <f t="shared" si="45"/>
        <v>2.9490240000000005</v>
      </c>
      <c r="S75" s="316">
        <f t="shared" si="46"/>
        <v>0.4536960000000001</v>
      </c>
      <c r="T75" s="317">
        <f t="shared" si="47"/>
        <v>0.14231199999999999</v>
      </c>
      <c r="U75" s="317">
        <f t="shared" si="47"/>
        <v>0.14902400000000071</v>
      </c>
      <c r="V75" s="317">
        <f t="shared" si="47"/>
        <v>2.3696000000000106E-2</v>
      </c>
      <c r="W75" s="357"/>
      <c r="X75" s="363"/>
      <c r="Y75" s="323">
        <f>T75*Y73</f>
        <v>84.050890319999993</v>
      </c>
      <c r="Z75" s="323">
        <f>U75*Z73</f>
        <v>124.10569696000059</v>
      </c>
      <c r="AA75" s="323">
        <f>V75*AA73</f>
        <v>26.461797120000117</v>
      </c>
      <c r="AB75" s="349">
        <f t="shared" ref="AB75:AB79" si="48">SUM(Y75:AA75)</f>
        <v>234.61838440000068</v>
      </c>
    </row>
    <row r="76" spans="1:28" s="337" customFormat="1">
      <c r="A76" s="308">
        <v>44420</v>
      </c>
      <c r="B76" s="358">
        <v>59</v>
      </c>
      <c r="C76" s="356" t="s">
        <v>167</v>
      </c>
      <c r="D76" s="356" t="s">
        <v>168</v>
      </c>
      <c r="E76" s="356">
        <v>2.06</v>
      </c>
      <c r="F76" s="356">
        <v>2.0699999999999998</v>
      </c>
      <c r="G76" s="356">
        <v>2.11</v>
      </c>
      <c r="H76" s="356">
        <v>0.32</v>
      </c>
      <c r="I76" s="333"/>
      <c r="J76" s="315">
        <f t="shared" si="43"/>
        <v>3.4915254237288133E-2</v>
      </c>
      <c r="K76" s="357"/>
      <c r="L76" s="308">
        <v>44420</v>
      </c>
      <c r="M76" s="358">
        <v>59</v>
      </c>
      <c r="N76" s="356" t="s">
        <v>167</v>
      </c>
      <c r="O76" s="356" t="s">
        <v>168</v>
      </c>
      <c r="P76" s="356">
        <v>2.06</v>
      </c>
      <c r="Q76" s="316">
        <f t="shared" si="44"/>
        <v>2.1905009999999998</v>
      </c>
      <c r="R76" s="316">
        <f t="shared" si="45"/>
        <v>2.2334519999999998</v>
      </c>
      <c r="S76" s="316">
        <f t="shared" si="46"/>
        <v>0.34360800000000002</v>
      </c>
      <c r="T76" s="317">
        <f t="shared" si="47"/>
        <v>0.12050099999999997</v>
      </c>
      <c r="U76" s="317">
        <f t="shared" si="47"/>
        <v>0.1234519999999999</v>
      </c>
      <c r="V76" s="317">
        <f t="shared" si="47"/>
        <v>2.3608000000000018E-2</v>
      </c>
      <c r="W76" s="357"/>
      <c r="X76" s="363"/>
      <c r="Y76" s="323">
        <f>T76*Y73</f>
        <v>71.169095609999985</v>
      </c>
      <c r="Z76" s="323">
        <f>U76*Z73</f>
        <v>102.8095910799999</v>
      </c>
      <c r="AA76" s="323">
        <f>V76*AA73</f>
        <v>26.363525760000019</v>
      </c>
      <c r="AB76" s="349">
        <f t="shared" si="48"/>
        <v>200.34221244999992</v>
      </c>
    </row>
    <row r="77" spans="1:28" s="337" customFormat="1">
      <c r="A77" s="308">
        <v>44481</v>
      </c>
      <c r="B77" s="358">
        <v>59</v>
      </c>
      <c r="C77" s="356" t="s">
        <v>169</v>
      </c>
      <c r="D77" s="356" t="s">
        <v>170</v>
      </c>
      <c r="E77" s="356">
        <v>2.06</v>
      </c>
      <c r="F77" s="356">
        <v>2.0699999999999998</v>
      </c>
      <c r="G77" s="356">
        <v>2.11</v>
      </c>
      <c r="H77" s="356">
        <v>0.32</v>
      </c>
      <c r="I77" s="333"/>
      <c r="J77" s="315">
        <f t="shared" si="43"/>
        <v>3.4915254237288133E-2</v>
      </c>
      <c r="K77" s="357"/>
      <c r="L77" s="308">
        <v>44481</v>
      </c>
      <c r="M77" s="358">
        <v>59</v>
      </c>
      <c r="N77" s="356" t="s">
        <v>169</v>
      </c>
      <c r="O77" s="356" t="s">
        <v>170</v>
      </c>
      <c r="P77" s="356">
        <v>2.06</v>
      </c>
      <c r="Q77" s="316">
        <f t="shared" si="44"/>
        <v>2.1905009999999998</v>
      </c>
      <c r="R77" s="316">
        <f t="shared" si="45"/>
        <v>2.2334519999999998</v>
      </c>
      <c r="S77" s="316">
        <f t="shared" si="46"/>
        <v>0.34360800000000002</v>
      </c>
      <c r="T77" s="317">
        <f t="shared" si="47"/>
        <v>0.12050099999999997</v>
      </c>
      <c r="U77" s="317">
        <f t="shared" si="47"/>
        <v>0.1234519999999999</v>
      </c>
      <c r="V77" s="317">
        <f t="shared" si="47"/>
        <v>2.3608000000000018E-2</v>
      </c>
      <c r="W77" s="357"/>
      <c r="X77" s="363"/>
      <c r="Y77" s="323">
        <f>T77*Y73</f>
        <v>71.169095609999985</v>
      </c>
      <c r="Z77" s="323">
        <f>U77*Z73</f>
        <v>102.8095910799999</v>
      </c>
      <c r="AA77" s="323">
        <f>V77*AA73</f>
        <v>26.363525760000019</v>
      </c>
      <c r="AB77" s="349">
        <f t="shared" si="48"/>
        <v>200.34221244999992</v>
      </c>
    </row>
    <row r="78" spans="1:28" s="337" customFormat="1">
      <c r="A78" s="308">
        <v>44614</v>
      </c>
      <c r="B78" s="358">
        <v>132</v>
      </c>
      <c r="C78" s="356" t="s">
        <v>171</v>
      </c>
      <c r="D78" s="365" t="s">
        <v>172</v>
      </c>
      <c r="E78" s="356">
        <v>5.55</v>
      </c>
      <c r="F78" s="356">
        <v>5.61</v>
      </c>
      <c r="G78" s="356">
        <v>5.72</v>
      </c>
      <c r="H78" s="356">
        <v>0.88</v>
      </c>
      <c r="I78" s="333"/>
      <c r="J78" s="315">
        <f t="shared" si="43"/>
        <v>4.2045454545454546E-2</v>
      </c>
      <c r="K78" s="357"/>
      <c r="L78" s="308">
        <v>44614</v>
      </c>
      <c r="M78" s="358">
        <v>132</v>
      </c>
      <c r="N78" s="356" t="s">
        <v>171</v>
      </c>
      <c r="O78" s="365" t="s">
        <v>172</v>
      </c>
      <c r="P78" s="356">
        <v>5.55</v>
      </c>
      <c r="Q78" s="316">
        <f t="shared" si="44"/>
        <v>5.9015925000000005</v>
      </c>
      <c r="R78" s="316">
        <f t="shared" si="45"/>
        <v>6.0173100000000002</v>
      </c>
      <c r="S78" s="316">
        <f t="shared" si="46"/>
        <v>0.92574000000000001</v>
      </c>
      <c r="T78" s="317">
        <f t="shared" si="47"/>
        <v>0.29159250000000014</v>
      </c>
      <c r="U78" s="317">
        <f t="shared" si="47"/>
        <v>0.29731000000000041</v>
      </c>
      <c r="V78" s="317">
        <f t="shared" si="47"/>
        <v>4.5740000000000003E-2</v>
      </c>
      <c r="W78" s="357"/>
      <c r="X78" s="363"/>
      <c r="Y78" s="323">
        <f>T78*Y73</f>
        <v>172.21744642500008</v>
      </c>
      <c r="Z78" s="323">
        <f>U78*Z73</f>
        <v>247.59679490000033</v>
      </c>
      <c r="AA78" s="323">
        <f>V78*AA73</f>
        <v>51.078772800000003</v>
      </c>
      <c r="AB78" s="349">
        <f t="shared" si="48"/>
        <v>470.89301412500043</v>
      </c>
    </row>
    <row r="79" spans="1:28" s="337" customFormat="1">
      <c r="A79" s="308">
        <v>44635</v>
      </c>
      <c r="B79" s="358">
        <v>97</v>
      </c>
      <c r="C79" s="356" t="s">
        <v>173</v>
      </c>
      <c r="D79" s="356" t="s">
        <v>174</v>
      </c>
      <c r="E79" s="356">
        <v>3.88</v>
      </c>
      <c r="F79" s="356">
        <v>4.12</v>
      </c>
      <c r="G79" s="356">
        <v>4.21</v>
      </c>
      <c r="H79" s="356">
        <v>0.65</v>
      </c>
      <c r="I79" s="333"/>
      <c r="J79" s="315">
        <f t="shared" si="43"/>
        <v>0.04</v>
      </c>
      <c r="K79" s="357"/>
      <c r="L79" s="308">
        <v>44635</v>
      </c>
      <c r="M79" s="358">
        <v>97</v>
      </c>
      <c r="N79" s="356" t="s">
        <v>173</v>
      </c>
      <c r="O79" s="356" t="s">
        <v>174</v>
      </c>
      <c r="P79" s="356">
        <v>3.88</v>
      </c>
      <c r="Q79" s="316">
        <f t="shared" si="44"/>
        <v>4.1257979999999996</v>
      </c>
      <c r="R79" s="316">
        <f t="shared" si="45"/>
        <v>4.206696</v>
      </c>
      <c r="S79" s="316">
        <f t="shared" si="46"/>
        <v>0.64718400000000009</v>
      </c>
      <c r="T79" s="317">
        <f t="shared" si="47"/>
        <v>5.7979999999995258E-3</v>
      </c>
      <c r="U79" s="360">
        <f t="shared" si="47"/>
        <v>-3.3039999999999736E-3</v>
      </c>
      <c r="V79" s="360">
        <f t="shared" si="47"/>
        <v>-2.8159999999999297E-3</v>
      </c>
      <c r="W79" s="357"/>
      <c r="X79" s="363"/>
      <c r="Y79" s="323">
        <f>T79*Y73</f>
        <v>3.4243567799997199</v>
      </c>
      <c r="Z79" s="323">
        <v>0</v>
      </c>
      <c r="AA79" s="323">
        <v>0</v>
      </c>
      <c r="AB79" s="349">
        <f t="shared" si="48"/>
        <v>3.4243567799997199</v>
      </c>
    </row>
    <row r="80" spans="1:28" s="337" customFormat="1" ht="15.75" thickBot="1">
      <c r="A80" s="308">
        <v>44635</v>
      </c>
      <c r="B80" s="358">
        <v>35</v>
      </c>
      <c r="C80" s="365" t="s">
        <v>150</v>
      </c>
      <c r="D80" s="365" t="s">
        <v>150</v>
      </c>
      <c r="E80" s="356">
        <v>1.4</v>
      </c>
      <c r="F80" s="356">
        <v>1.49</v>
      </c>
      <c r="G80" s="356">
        <v>1.52</v>
      </c>
      <c r="H80" s="356">
        <v>0.23</v>
      </c>
      <c r="I80" s="333"/>
      <c r="J80" s="315">
        <f t="shared" si="43"/>
        <v>0.04</v>
      </c>
      <c r="K80" s="357"/>
      <c r="L80" s="308">
        <v>44635</v>
      </c>
      <c r="M80" s="358">
        <v>35</v>
      </c>
      <c r="N80" s="365" t="s">
        <v>150</v>
      </c>
      <c r="O80" s="365" t="s">
        <v>150</v>
      </c>
      <c r="P80" s="356">
        <v>1.4</v>
      </c>
      <c r="Q80" s="316">
        <f t="shared" si="44"/>
        <v>1.4886900000000001</v>
      </c>
      <c r="R80" s="316">
        <f t="shared" si="45"/>
        <v>1.5178800000000001</v>
      </c>
      <c r="S80" s="316">
        <f t="shared" si="46"/>
        <v>0.23352000000000001</v>
      </c>
      <c r="T80" s="360">
        <f t="shared" si="47"/>
        <v>-1.3099999999999223E-3</v>
      </c>
      <c r="U80" s="360">
        <f t="shared" si="47"/>
        <v>-2.1199999999998997E-3</v>
      </c>
      <c r="V80" s="360">
        <f t="shared" si="47"/>
        <v>3.5199999999999954E-3</v>
      </c>
      <c r="W80" s="357"/>
      <c r="X80" s="318"/>
      <c r="Y80" s="336">
        <v>0</v>
      </c>
      <c r="Z80" s="336">
        <v>0</v>
      </c>
      <c r="AA80" s="336">
        <v>0</v>
      </c>
      <c r="AB80" s="351">
        <f>SUM(Y80:AA80)</f>
        <v>0</v>
      </c>
    </row>
    <row r="81" spans="1:28" ht="15.75" thickBot="1">
      <c r="AB81" s="319">
        <f>SUM(AB74:AB80)</f>
        <v>1288.8430195800006</v>
      </c>
    </row>
    <row r="82" spans="1:28" s="362" customFormat="1" ht="15.75" thickBot="1">
      <c r="A82" s="361"/>
      <c r="B82" s="361"/>
      <c r="C82" s="361"/>
      <c r="D82" s="361"/>
      <c r="E82" s="361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1"/>
      <c r="X82" s="361"/>
      <c r="Y82" s="361"/>
      <c r="Z82" s="361"/>
      <c r="AA82" s="361"/>
      <c r="AB82" s="332"/>
    </row>
    <row r="83" spans="1:28">
      <c r="X83" s="397" t="s">
        <v>276</v>
      </c>
      <c r="Y83" s="398"/>
      <c r="Z83" s="398"/>
      <c r="AA83" s="398"/>
      <c r="AB83" s="399"/>
    </row>
    <row r="84" spans="1:28" s="337" customFormat="1">
      <c r="A84" s="403" t="s">
        <v>161</v>
      </c>
      <c r="B84" s="403"/>
      <c r="C84" s="403"/>
      <c r="D84" s="403"/>
      <c r="E84" s="403"/>
      <c r="F84" s="403"/>
      <c r="G84" s="403"/>
      <c r="H84" s="403"/>
      <c r="I84" s="361"/>
      <c r="J84" s="361"/>
      <c r="K84" s="357"/>
      <c r="L84" s="404" t="s">
        <v>134</v>
      </c>
      <c r="M84" s="404"/>
      <c r="N84" s="404"/>
      <c r="O84" s="404"/>
      <c r="P84" s="404"/>
      <c r="Q84" s="404"/>
      <c r="R84" s="404"/>
      <c r="S84" s="404"/>
      <c r="T84" s="404"/>
      <c r="U84" s="404"/>
      <c r="V84" s="404"/>
      <c r="W84" s="357"/>
      <c r="X84" s="352"/>
      <c r="Y84" s="365" t="s">
        <v>241</v>
      </c>
      <c r="Z84" s="365" t="s">
        <v>242</v>
      </c>
      <c r="AA84" s="365" t="s">
        <v>243</v>
      </c>
      <c r="AB84" s="331"/>
    </row>
    <row r="85" spans="1:28" s="337" customFormat="1" ht="30.75" thickBot="1">
      <c r="A85" s="356" t="s">
        <v>105</v>
      </c>
      <c r="B85" s="356" t="s">
        <v>75</v>
      </c>
      <c r="C85" s="356" t="s">
        <v>106</v>
      </c>
      <c r="D85" s="356" t="s">
        <v>107</v>
      </c>
      <c r="E85" s="356" t="s">
        <v>116</v>
      </c>
      <c r="F85" s="356" t="s">
        <v>117</v>
      </c>
      <c r="G85" s="356" t="s">
        <v>118</v>
      </c>
      <c r="H85" s="356" t="s">
        <v>119</v>
      </c>
      <c r="I85" s="311"/>
      <c r="J85" s="356" t="s">
        <v>120</v>
      </c>
      <c r="K85" s="357"/>
      <c r="L85" s="356" t="s">
        <v>105</v>
      </c>
      <c r="M85" s="356" t="s">
        <v>75</v>
      </c>
      <c r="N85" s="356" t="s">
        <v>106</v>
      </c>
      <c r="O85" s="356" t="s">
        <v>107</v>
      </c>
      <c r="P85" s="356" t="s">
        <v>116</v>
      </c>
      <c r="Q85" s="356" t="s">
        <v>117</v>
      </c>
      <c r="R85" s="356" t="s">
        <v>118</v>
      </c>
      <c r="S85" s="356" t="s">
        <v>119</v>
      </c>
      <c r="T85" s="356" t="s">
        <v>135</v>
      </c>
      <c r="U85" s="356" t="s">
        <v>136</v>
      </c>
      <c r="V85" s="356" t="s">
        <v>137</v>
      </c>
      <c r="W85" s="357"/>
      <c r="X85" s="344" t="s">
        <v>240</v>
      </c>
      <c r="Y85" s="336">
        <v>637.59</v>
      </c>
      <c r="Z85" s="336">
        <v>880.49</v>
      </c>
      <c r="AA85" s="336">
        <v>1128.24</v>
      </c>
      <c r="AB85" s="329" t="s">
        <v>280</v>
      </c>
    </row>
    <row r="86" spans="1:28" s="337" customFormat="1">
      <c r="A86" s="308">
        <v>44685</v>
      </c>
      <c r="B86" s="358">
        <v>68</v>
      </c>
      <c r="C86" s="356" t="s">
        <v>150</v>
      </c>
      <c r="D86" s="356" t="s">
        <v>151</v>
      </c>
      <c r="E86" s="356">
        <v>3.2</v>
      </c>
      <c r="F86" s="356">
        <v>3.25</v>
      </c>
      <c r="G86" s="356">
        <v>3.32</v>
      </c>
      <c r="H86" s="356">
        <v>0.51</v>
      </c>
      <c r="I86" s="333"/>
      <c r="J86" s="315">
        <f t="shared" ref="J86:J91" si="49">E86/B86</f>
        <v>4.7058823529411764E-2</v>
      </c>
      <c r="K86" s="357"/>
      <c r="L86" s="308">
        <v>44685</v>
      </c>
      <c r="M86" s="358">
        <v>68</v>
      </c>
      <c r="N86" s="356" t="s">
        <v>150</v>
      </c>
      <c r="O86" s="356" t="s">
        <v>151</v>
      </c>
      <c r="P86" s="356">
        <v>3.2</v>
      </c>
      <c r="Q86" s="316">
        <f t="shared" ref="Q86:Q91" si="50">((J86*8.34*255)*M86)/2000</f>
        <v>3.40272</v>
      </c>
      <c r="R86" s="316">
        <f t="shared" ref="R86:R91" si="51">((J86*8.34*260)*M86)/2000</f>
        <v>3.4694400000000001</v>
      </c>
      <c r="S86" s="316">
        <f t="shared" ref="S86:S91" si="52">((J86*8.34*40)*M86)/2000</f>
        <v>0.53376000000000001</v>
      </c>
      <c r="T86" s="317">
        <f t="shared" ref="T86:V91" si="53">Q86-F86</f>
        <v>0.15271999999999997</v>
      </c>
      <c r="U86" s="317">
        <f t="shared" si="53"/>
        <v>0.14944000000000024</v>
      </c>
      <c r="V86" s="317">
        <f t="shared" si="53"/>
        <v>2.3760000000000003E-2</v>
      </c>
      <c r="W86" s="357"/>
      <c r="X86" s="366"/>
      <c r="Y86" s="347">
        <f>T86*Y85</f>
        <v>97.372744799999978</v>
      </c>
      <c r="Z86" s="347">
        <f>U86*Z85</f>
        <v>131.58042560000021</v>
      </c>
      <c r="AA86" s="347">
        <f>V86*AA85</f>
        <v>26.806982400000003</v>
      </c>
      <c r="AB86" s="349">
        <f>SUM(Y86:AA86)</f>
        <v>255.76015280000021</v>
      </c>
    </row>
    <row r="87" spans="1:28" s="337" customFormat="1">
      <c r="A87" s="308">
        <v>44775</v>
      </c>
      <c r="B87" s="358">
        <v>73</v>
      </c>
      <c r="C87" s="356" t="s">
        <v>152</v>
      </c>
      <c r="D87" s="356" t="s">
        <v>153</v>
      </c>
      <c r="E87" s="356">
        <v>3.43</v>
      </c>
      <c r="F87" s="356">
        <v>3.49</v>
      </c>
      <c r="G87" s="356">
        <v>3.56</v>
      </c>
      <c r="H87" s="356">
        <v>0.55000000000000004</v>
      </c>
      <c r="I87" s="333"/>
      <c r="J87" s="315">
        <f t="shared" si="49"/>
        <v>4.6986301369863016E-2</v>
      </c>
      <c r="K87" s="357"/>
      <c r="L87" s="308">
        <v>44775</v>
      </c>
      <c r="M87" s="358">
        <v>73</v>
      </c>
      <c r="N87" s="356" t="s">
        <v>152</v>
      </c>
      <c r="O87" s="356" t="s">
        <v>153</v>
      </c>
      <c r="P87" s="356">
        <v>3.43</v>
      </c>
      <c r="Q87" s="316">
        <f t="shared" si="50"/>
        <v>3.6472905000000004</v>
      </c>
      <c r="R87" s="316">
        <f t="shared" si="51"/>
        <v>3.7188059999999998</v>
      </c>
      <c r="S87" s="316">
        <f t="shared" si="52"/>
        <v>0.57212400000000008</v>
      </c>
      <c r="T87" s="317">
        <f t="shared" si="53"/>
        <v>0.15729050000000022</v>
      </c>
      <c r="U87" s="317">
        <f t="shared" si="53"/>
        <v>0.15880599999999978</v>
      </c>
      <c r="V87" s="317">
        <f t="shared" si="53"/>
        <v>2.2124000000000033E-2</v>
      </c>
      <c r="W87" s="357"/>
      <c r="X87" s="363"/>
      <c r="Y87" s="323">
        <f>T87*Y85</f>
        <v>100.28684989500015</v>
      </c>
      <c r="Z87" s="323">
        <f>U87*Z85</f>
        <v>139.8270949399998</v>
      </c>
      <c r="AA87" s="323">
        <f>V87*AA85</f>
        <v>24.961181760000038</v>
      </c>
      <c r="AB87" s="349">
        <f t="shared" ref="AB87:AB90" si="54">SUM(Y87:AA87)</f>
        <v>265.07512659499997</v>
      </c>
    </row>
    <row r="88" spans="1:28" s="337" customFormat="1">
      <c r="A88" s="308">
        <v>44845</v>
      </c>
      <c r="B88" s="358">
        <v>73</v>
      </c>
      <c r="C88" s="356" t="s">
        <v>154</v>
      </c>
      <c r="D88" s="356" t="s">
        <v>155</v>
      </c>
      <c r="E88" s="356">
        <v>1.02</v>
      </c>
      <c r="F88" s="356">
        <v>0.93</v>
      </c>
      <c r="G88" s="356">
        <v>0.95</v>
      </c>
      <c r="H88" s="356">
        <v>0.14000000000000001</v>
      </c>
      <c r="I88" s="333"/>
      <c r="J88" s="315">
        <f t="shared" si="49"/>
        <v>1.3972602739726028E-2</v>
      </c>
      <c r="K88" s="357"/>
      <c r="L88" s="308">
        <v>44845</v>
      </c>
      <c r="M88" s="358">
        <v>73</v>
      </c>
      <c r="N88" s="356" t="s">
        <v>154</v>
      </c>
      <c r="O88" s="356" t="s">
        <v>155</v>
      </c>
      <c r="P88" s="356">
        <v>1.02</v>
      </c>
      <c r="Q88" s="316">
        <f t="shared" si="50"/>
        <v>1.0846169999999999</v>
      </c>
      <c r="R88" s="316">
        <f t="shared" si="51"/>
        <v>1.1058840000000001</v>
      </c>
      <c r="S88" s="316">
        <f t="shared" si="52"/>
        <v>0.17013600000000004</v>
      </c>
      <c r="T88" s="317">
        <f t="shared" si="53"/>
        <v>0.15461699999999989</v>
      </c>
      <c r="U88" s="317">
        <f t="shared" si="53"/>
        <v>0.15588400000000013</v>
      </c>
      <c r="V88" s="317">
        <f t="shared" si="53"/>
        <v>3.0136000000000024E-2</v>
      </c>
      <c r="W88" s="357"/>
      <c r="X88" s="363"/>
      <c r="Y88" s="323">
        <f>T88*Y85</f>
        <v>98.582253029999933</v>
      </c>
      <c r="Z88" s="323">
        <f>U88*Z85</f>
        <v>137.25430316000012</v>
      </c>
      <c r="AA88" s="323">
        <f>V88*AA85</f>
        <v>34.000640640000029</v>
      </c>
      <c r="AB88" s="349">
        <f t="shared" si="54"/>
        <v>269.8371968300001</v>
      </c>
    </row>
    <row r="89" spans="1:28" s="337" customFormat="1">
      <c r="A89" s="308">
        <v>44901</v>
      </c>
      <c r="B89" s="358">
        <v>63</v>
      </c>
      <c r="C89" s="356" t="s">
        <v>156</v>
      </c>
      <c r="D89" s="356" t="s">
        <v>157</v>
      </c>
      <c r="E89" s="356">
        <v>2.02</v>
      </c>
      <c r="F89" s="356">
        <v>2.0099999999999998</v>
      </c>
      <c r="G89" s="356">
        <v>2.0499999999999998</v>
      </c>
      <c r="H89" s="356">
        <v>0.32</v>
      </c>
      <c r="I89" s="333"/>
      <c r="J89" s="315">
        <f t="shared" si="49"/>
        <v>3.2063492063492065E-2</v>
      </c>
      <c r="K89" s="357"/>
      <c r="L89" s="308">
        <v>44901</v>
      </c>
      <c r="M89" s="358">
        <v>63</v>
      </c>
      <c r="N89" s="356" t="s">
        <v>156</v>
      </c>
      <c r="O89" s="356" t="s">
        <v>157</v>
      </c>
      <c r="P89" s="356">
        <v>2.02</v>
      </c>
      <c r="Q89" s="316">
        <f t="shared" si="50"/>
        <v>2.147967</v>
      </c>
      <c r="R89" s="316">
        <f t="shared" si="51"/>
        <v>2.1900839999999997</v>
      </c>
      <c r="S89" s="316">
        <f t="shared" si="52"/>
        <v>0.33693599999999996</v>
      </c>
      <c r="T89" s="317">
        <f t="shared" si="53"/>
        <v>0.13796700000000017</v>
      </c>
      <c r="U89" s="317">
        <f t="shared" si="53"/>
        <v>0.14008399999999988</v>
      </c>
      <c r="V89" s="317">
        <f t="shared" si="53"/>
        <v>1.6935999999999951E-2</v>
      </c>
      <c r="W89" s="357"/>
      <c r="X89" s="363"/>
      <c r="Y89" s="323">
        <f>T89*Y85</f>
        <v>87.966379530000111</v>
      </c>
      <c r="Z89" s="323">
        <f>U89*Z85</f>
        <v>123.34256115999989</v>
      </c>
      <c r="AA89" s="323">
        <f>V89*AA85</f>
        <v>19.107872639999943</v>
      </c>
      <c r="AB89" s="349">
        <f t="shared" si="54"/>
        <v>230.41681332999994</v>
      </c>
    </row>
    <row r="90" spans="1:28" s="337" customFormat="1">
      <c r="A90" s="308">
        <v>44978</v>
      </c>
      <c r="B90" s="358">
        <v>70</v>
      </c>
      <c r="C90" s="356" t="s">
        <v>158</v>
      </c>
      <c r="D90" s="356" t="s">
        <v>159</v>
      </c>
      <c r="E90" s="356">
        <v>1.54</v>
      </c>
      <c r="F90" s="356">
        <v>1.49</v>
      </c>
      <c r="G90" s="356">
        <v>1.52</v>
      </c>
      <c r="H90" s="356">
        <v>0.23</v>
      </c>
      <c r="I90" s="333"/>
      <c r="J90" s="315">
        <f t="shared" si="49"/>
        <v>2.2000000000000002E-2</v>
      </c>
      <c r="K90" s="357"/>
      <c r="L90" s="308">
        <v>44978</v>
      </c>
      <c r="M90" s="358">
        <v>70</v>
      </c>
      <c r="N90" s="356" t="s">
        <v>158</v>
      </c>
      <c r="O90" s="356" t="s">
        <v>159</v>
      </c>
      <c r="P90" s="356">
        <v>1.54</v>
      </c>
      <c r="Q90" s="316">
        <f t="shared" si="50"/>
        <v>1.637559</v>
      </c>
      <c r="R90" s="316">
        <f t="shared" si="51"/>
        <v>1.6696679999999999</v>
      </c>
      <c r="S90" s="316">
        <f t="shared" si="52"/>
        <v>0.25687199999999999</v>
      </c>
      <c r="T90" s="317">
        <f t="shared" si="53"/>
        <v>0.147559</v>
      </c>
      <c r="U90" s="317">
        <f t="shared" si="53"/>
        <v>0.14966799999999991</v>
      </c>
      <c r="V90" s="317">
        <f t="shared" si="53"/>
        <v>2.6871999999999979E-2</v>
      </c>
      <c r="W90" s="357"/>
      <c r="X90" s="363"/>
      <c r="Y90" s="323">
        <f>T90*Y85</f>
        <v>94.082142810000008</v>
      </c>
      <c r="Z90" s="323">
        <f>U90*Z85</f>
        <v>131.78117731999993</v>
      </c>
      <c r="AA90" s="323">
        <f>V90*AA85</f>
        <v>30.318065279999978</v>
      </c>
      <c r="AB90" s="349">
        <f t="shared" si="54"/>
        <v>256.1813854099999</v>
      </c>
    </row>
    <row r="91" spans="1:28" s="337" customFormat="1" ht="15.75" thickBot="1">
      <c r="A91" s="308">
        <v>44999</v>
      </c>
      <c r="B91" s="358">
        <v>18</v>
      </c>
      <c r="C91" s="356" t="s">
        <v>138</v>
      </c>
      <c r="D91" s="356" t="s">
        <v>160</v>
      </c>
      <c r="E91" s="356">
        <v>0.4</v>
      </c>
      <c r="F91" s="356">
        <v>0.38</v>
      </c>
      <c r="G91" s="356">
        <v>0.39</v>
      </c>
      <c r="H91" s="356">
        <v>0.06</v>
      </c>
      <c r="I91" s="333"/>
      <c r="J91" s="315">
        <f t="shared" si="49"/>
        <v>2.2222222222222223E-2</v>
      </c>
      <c r="K91" s="357"/>
      <c r="L91" s="308">
        <v>44999</v>
      </c>
      <c r="M91" s="358">
        <v>18</v>
      </c>
      <c r="N91" s="356" t="s">
        <v>138</v>
      </c>
      <c r="O91" s="356" t="s">
        <v>160</v>
      </c>
      <c r="P91" s="356">
        <v>0.4</v>
      </c>
      <c r="Q91" s="316">
        <f t="shared" si="50"/>
        <v>0.42534000000000005</v>
      </c>
      <c r="R91" s="316">
        <f t="shared" si="51"/>
        <v>0.43368000000000001</v>
      </c>
      <c r="S91" s="316">
        <f t="shared" si="52"/>
        <v>6.6720000000000002E-2</v>
      </c>
      <c r="T91" s="317">
        <f t="shared" si="53"/>
        <v>4.5340000000000047E-2</v>
      </c>
      <c r="U91" s="317">
        <f t="shared" si="53"/>
        <v>4.3679999999999997E-2</v>
      </c>
      <c r="V91" s="317">
        <f t="shared" si="53"/>
        <v>6.7200000000000037E-3</v>
      </c>
      <c r="W91" s="357"/>
      <c r="X91" s="318"/>
      <c r="Y91" s="336">
        <f>T91*Y85</f>
        <v>28.908330600000031</v>
      </c>
      <c r="Z91" s="336">
        <f>U91*Z85</f>
        <v>38.459803199999996</v>
      </c>
      <c r="AA91" s="336">
        <f>V91*AA85</f>
        <v>7.581772800000004</v>
      </c>
      <c r="AB91" s="351">
        <f>SUM(Y91:AA91)</f>
        <v>74.949906600000034</v>
      </c>
    </row>
    <row r="92" spans="1:28" ht="15.75" thickBot="1">
      <c r="AB92" s="319">
        <f>SUM(AB86:AB91)</f>
        <v>1352.2205815650002</v>
      </c>
    </row>
    <row r="93" spans="1:28" s="362" customFormat="1" ht="15.75" thickBot="1">
      <c r="A93" s="361"/>
      <c r="B93" s="361"/>
      <c r="C93" s="361"/>
      <c r="D93" s="361"/>
      <c r="E93" s="361"/>
      <c r="F93" s="361"/>
      <c r="G93" s="361"/>
      <c r="H93" s="361"/>
      <c r="I93" s="361"/>
      <c r="J93" s="361"/>
      <c r="K93" s="361"/>
      <c r="L93" s="361"/>
      <c r="M93" s="361"/>
      <c r="N93" s="361"/>
      <c r="O93" s="361"/>
      <c r="P93" s="361"/>
      <c r="Q93" s="361"/>
      <c r="R93" s="361"/>
      <c r="S93" s="361"/>
      <c r="T93" s="361"/>
      <c r="U93" s="361"/>
      <c r="V93" s="361"/>
      <c r="W93" s="361"/>
      <c r="X93" s="361"/>
      <c r="Y93" s="361"/>
      <c r="Z93" s="361"/>
      <c r="AA93" s="361"/>
      <c r="AB93" s="332"/>
    </row>
    <row r="94" spans="1:28">
      <c r="X94" s="397" t="s">
        <v>277</v>
      </c>
      <c r="Y94" s="398"/>
      <c r="Z94" s="398"/>
      <c r="AA94" s="398"/>
      <c r="AB94" s="399"/>
    </row>
    <row r="95" spans="1:28" s="337" customFormat="1">
      <c r="A95" s="403" t="s">
        <v>149</v>
      </c>
      <c r="B95" s="403"/>
      <c r="C95" s="403"/>
      <c r="D95" s="403"/>
      <c r="E95" s="403"/>
      <c r="F95" s="403"/>
      <c r="G95" s="403"/>
      <c r="H95" s="403"/>
      <c r="I95" s="361"/>
      <c r="J95" s="361"/>
      <c r="K95" s="357"/>
      <c r="L95" s="404" t="s">
        <v>134</v>
      </c>
      <c r="M95" s="404"/>
      <c r="N95" s="404"/>
      <c r="O95" s="404"/>
      <c r="P95" s="404"/>
      <c r="Q95" s="404"/>
      <c r="R95" s="404"/>
      <c r="S95" s="404"/>
      <c r="T95" s="404"/>
      <c r="U95" s="404"/>
      <c r="V95" s="404"/>
      <c r="W95" s="357"/>
      <c r="X95" s="352"/>
      <c r="Y95" s="365" t="s">
        <v>241</v>
      </c>
      <c r="Z95" s="365" t="s">
        <v>242</v>
      </c>
      <c r="AA95" s="365" t="s">
        <v>243</v>
      </c>
      <c r="AB95" s="331"/>
    </row>
    <row r="96" spans="1:28" s="337" customFormat="1" ht="30.75" thickBot="1">
      <c r="A96" s="356" t="s">
        <v>105</v>
      </c>
      <c r="B96" s="356" t="s">
        <v>75</v>
      </c>
      <c r="C96" s="356" t="s">
        <v>106</v>
      </c>
      <c r="D96" s="356" t="s">
        <v>107</v>
      </c>
      <c r="E96" s="356" t="s">
        <v>116</v>
      </c>
      <c r="F96" s="356" t="s">
        <v>117</v>
      </c>
      <c r="G96" s="356" t="s">
        <v>118</v>
      </c>
      <c r="H96" s="356" t="s">
        <v>119</v>
      </c>
      <c r="I96" s="311"/>
      <c r="J96" s="356" t="s">
        <v>120</v>
      </c>
      <c r="K96" s="357"/>
      <c r="L96" s="364" t="s">
        <v>105</v>
      </c>
      <c r="M96" s="364" t="s">
        <v>75</v>
      </c>
      <c r="N96" s="364" t="s">
        <v>106</v>
      </c>
      <c r="O96" s="364" t="s">
        <v>107</v>
      </c>
      <c r="P96" s="364" t="s">
        <v>116</v>
      </c>
      <c r="Q96" s="364" t="s">
        <v>117</v>
      </c>
      <c r="R96" s="364" t="s">
        <v>118</v>
      </c>
      <c r="S96" s="364" t="s">
        <v>119</v>
      </c>
      <c r="T96" s="364" t="s">
        <v>135</v>
      </c>
      <c r="U96" s="364" t="s">
        <v>136</v>
      </c>
      <c r="V96" s="364" t="s">
        <v>137</v>
      </c>
      <c r="W96" s="357"/>
      <c r="X96" s="344" t="s">
        <v>240</v>
      </c>
      <c r="Y96" s="336">
        <v>688.4</v>
      </c>
      <c r="Z96" s="336">
        <v>945.16</v>
      </c>
      <c r="AA96" s="336">
        <v>1168.77</v>
      </c>
      <c r="AB96" s="329" t="s">
        <v>280</v>
      </c>
    </row>
    <row r="97" spans="1:28" s="337" customFormat="1">
      <c r="A97" s="308">
        <v>45034</v>
      </c>
      <c r="B97" s="358">
        <v>51</v>
      </c>
      <c r="C97" s="356" t="s">
        <v>138</v>
      </c>
      <c r="D97" s="356" t="s">
        <v>139</v>
      </c>
      <c r="E97" s="356">
        <v>0.66</v>
      </c>
      <c r="F97" s="356">
        <v>0.6</v>
      </c>
      <c r="G97" s="356">
        <v>0.61</v>
      </c>
      <c r="H97" s="356">
        <v>0.09</v>
      </c>
      <c r="I97" s="333"/>
      <c r="J97" s="315">
        <f t="shared" ref="J97:J102" si="55">E97/B97</f>
        <v>1.2941176470588235E-2</v>
      </c>
      <c r="K97" s="357"/>
      <c r="L97" s="308">
        <v>45034</v>
      </c>
      <c r="M97" s="358">
        <v>51</v>
      </c>
      <c r="N97" s="356" t="s">
        <v>138</v>
      </c>
      <c r="O97" s="356" t="s">
        <v>139</v>
      </c>
      <c r="P97" s="356">
        <v>0.66</v>
      </c>
      <c r="Q97" s="316">
        <f t="shared" ref="Q97:Q102" si="56">((J97*8.34*255)*M97)/2000</f>
        <v>0.70181100000000007</v>
      </c>
      <c r="R97" s="316">
        <f t="shared" ref="R97:R102" si="57">((J97*8.34*260)*M97)/2000</f>
        <v>0.71557199999999999</v>
      </c>
      <c r="S97" s="316">
        <f t="shared" ref="S97:S102" si="58">((J97*8.34*40)*M97)/2000</f>
        <v>0.11008799999999999</v>
      </c>
      <c r="T97" s="317">
        <f t="shared" ref="T97:V102" si="59">Q97-F97</f>
        <v>0.1018110000000001</v>
      </c>
      <c r="U97" s="317">
        <f t="shared" si="59"/>
        <v>0.105572</v>
      </c>
      <c r="V97" s="317">
        <f t="shared" si="59"/>
        <v>2.0087999999999995E-2</v>
      </c>
      <c r="W97" s="357"/>
      <c r="X97" s="366"/>
      <c r="Y97" s="347">
        <f>T97*Y96</f>
        <v>70.086692400000061</v>
      </c>
      <c r="Z97" s="347">
        <f>U97*Z96</f>
        <v>99.782431520000003</v>
      </c>
      <c r="AA97" s="347">
        <f>V97*AA96</f>
        <v>23.478251759999992</v>
      </c>
      <c r="AB97" s="349">
        <f>SUM(Y97:AA97)</f>
        <v>193.34737568000003</v>
      </c>
    </row>
    <row r="98" spans="1:28" s="337" customFormat="1">
      <c r="A98" s="308">
        <v>45099</v>
      </c>
      <c r="B98" s="358">
        <v>63</v>
      </c>
      <c r="C98" s="356" t="s">
        <v>140</v>
      </c>
      <c r="D98" s="356" t="s">
        <v>141</v>
      </c>
      <c r="E98" s="356">
        <v>2.84</v>
      </c>
      <c r="F98" s="356">
        <v>3.01</v>
      </c>
      <c r="G98" s="356">
        <v>3.07</v>
      </c>
      <c r="H98" s="356">
        <v>0.47</v>
      </c>
      <c r="I98" s="333"/>
      <c r="J98" s="315">
        <f t="shared" si="55"/>
        <v>4.507936507936508E-2</v>
      </c>
      <c r="K98" s="357"/>
      <c r="L98" s="308">
        <v>45099</v>
      </c>
      <c r="M98" s="358">
        <v>63</v>
      </c>
      <c r="N98" s="356" t="s">
        <v>140</v>
      </c>
      <c r="O98" s="356" t="s">
        <v>141</v>
      </c>
      <c r="P98" s="356">
        <v>2.84</v>
      </c>
      <c r="Q98" s="316">
        <f t="shared" si="56"/>
        <v>3.0199140000000004</v>
      </c>
      <c r="R98" s="316">
        <f t="shared" si="57"/>
        <v>3.0791280000000003</v>
      </c>
      <c r="S98" s="316">
        <f t="shared" si="58"/>
        <v>0.47371199999999997</v>
      </c>
      <c r="T98" s="317">
        <f t="shared" si="59"/>
        <v>9.9140000000006445E-3</v>
      </c>
      <c r="U98" s="317">
        <f t="shared" si="59"/>
        <v>9.1280000000004691E-3</v>
      </c>
      <c r="V98" s="360">
        <f t="shared" si="59"/>
        <v>3.7119999999999931E-3</v>
      </c>
      <c r="W98" s="357"/>
      <c r="X98" s="363"/>
      <c r="Y98" s="323">
        <f>T98*Y96</f>
        <v>6.8247976000004433</v>
      </c>
      <c r="Z98" s="323">
        <f>U98*Z96</f>
        <v>8.6274204800004437</v>
      </c>
      <c r="AA98" s="323">
        <f>V98*AA96</f>
        <v>4.338474239999992</v>
      </c>
      <c r="AB98" s="349">
        <f t="shared" ref="AB98:AB101" si="60">SUM(Y98:AA98)</f>
        <v>19.790692320000879</v>
      </c>
    </row>
    <row r="99" spans="1:28" s="337" customFormat="1">
      <c r="A99" s="308">
        <v>45167</v>
      </c>
      <c r="B99" s="358">
        <v>63</v>
      </c>
      <c r="C99" s="356" t="s">
        <v>142</v>
      </c>
      <c r="D99" s="356" t="s">
        <v>143</v>
      </c>
      <c r="E99" s="356">
        <v>2.08</v>
      </c>
      <c r="F99" s="356">
        <v>2.08</v>
      </c>
      <c r="G99" s="356">
        <v>2.12</v>
      </c>
      <c r="H99" s="356">
        <v>0.32</v>
      </c>
      <c r="I99" s="333"/>
      <c r="J99" s="315">
        <f t="shared" si="55"/>
        <v>3.3015873015873019E-2</v>
      </c>
      <c r="K99" s="357"/>
      <c r="L99" s="308">
        <v>45167</v>
      </c>
      <c r="M99" s="358">
        <v>63</v>
      </c>
      <c r="N99" s="356" t="s">
        <v>142</v>
      </c>
      <c r="O99" s="356" t="s">
        <v>143</v>
      </c>
      <c r="P99" s="356">
        <v>2.08</v>
      </c>
      <c r="Q99" s="316">
        <f t="shared" si="56"/>
        <v>2.2117680000000002</v>
      </c>
      <c r="R99" s="316">
        <f t="shared" si="57"/>
        <v>2.2551359999999998</v>
      </c>
      <c r="S99" s="316">
        <f t="shared" si="58"/>
        <v>0.34694400000000003</v>
      </c>
      <c r="T99" s="317">
        <f t="shared" si="59"/>
        <v>0.13176800000000011</v>
      </c>
      <c r="U99" s="317">
        <f t="shared" si="59"/>
        <v>0.1351359999999997</v>
      </c>
      <c r="V99" s="317">
        <f t="shared" si="59"/>
        <v>2.6944000000000023E-2</v>
      </c>
      <c r="W99" s="357"/>
      <c r="X99" s="363"/>
      <c r="Y99" s="323">
        <f>T99*Y96</f>
        <v>90.709091200000074</v>
      </c>
      <c r="Z99" s="323">
        <f>U99*Z96</f>
        <v>127.72514175999972</v>
      </c>
      <c r="AA99" s="323">
        <f>V99*AA96</f>
        <v>31.491338880000026</v>
      </c>
      <c r="AB99" s="349">
        <f t="shared" si="60"/>
        <v>249.92557183999983</v>
      </c>
    </row>
    <row r="100" spans="1:28" s="337" customFormat="1">
      <c r="A100" s="308">
        <v>45274</v>
      </c>
      <c r="B100" s="358">
        <v>68</v>
      </c>
      <c r="C100" s="356" t="s">
        <v>144</v>
      </c>
      <c r="D100" s="356" t="s">
        <v>145</v>
      </c>
      <c r="E100" s="356">
        <v>2.82</v>
      </c>
      <c r="F100" s="356">
        <v>2.85</v>
      </c>
      <c r="G100" s="356">
        <v>2.9</v>
      </c>
      <c r="H100" s="356">
        <v>0.45</v>
      </c>
      <c r="I100" s="333"/>
      <c r="J100" s="315">
        <f t="shared" si="55"/>
        <v>4.1470588235294113E-2</v>
      </c>
      <c r="K100" s="357"/>
      <c r="L100" s="308">
        <v>45274</v>
      </c>
      <c r="M100" s="358">
        <v>68</v>
      </c>
      <c r="N100" s="356" t="s">
        <v>144</v>
      </c>
      <c r="O100" s="356" t="s">
        <v>145</v>
      </c>
      <c r="P100" s="356">
        <v>2.82</v>
      </c>
      <c r="Q100" s="316">
        <f t="shared" si="56"/>
        <v>2.9986470000000001</v>
      </c>
      <c r="R100" s="316">
        <f t="shared" si="57"/>
        <v>3.0574439999999994</v>
      </c>
      <c r="S100" s="316">
        <f t="shared" si="58"/>
        <v>0.47037599999999996</v>
      </c>
      <c r="T100" s="317">
        <f t="shared" si="59"/>
        <v>0.14864699999999997</v>
      </c>
      <c r="U100" s="317">
        <f t="shared" si="59"/>
        <v>0.15744399999999947</v>
      </c>
      <c r="V100" s="317">
        <f t="shared" si="59"/>
        <v>2.037599999999995E-2</v>
      </c>
      <c r="W100" s="357"/>
      <c r="X100" s="363"/>
      <c r="Y100" s="323">
        <f>T100*Y96</f>
        <v>102.32859479999998</v>
      </c>
      <c r="Z100" s="323">
        <f>U100*Z96</f>
        <v>148.8097710399995</v>
      </c>
      <c r="AA100" s="323">
        <f>V100*AA96</f>
        <v>23.81485751999994</v>
      </c>
      <c r="AB100" s="349">
        <f t="shared" si="60"/>
        <v>274.95322335999941</v>
      </c>
    </row>
    <row r="101" spans="1:28" s="337" customFormat="1">
      <c r="A101" s="308">
        <v>45335</v>
      </c>
      <c r="B101" s="358">
        <v>63</v>
      </c>
      <c r="C101" s="356" t="s">
        <v>146</v>
      </c>
      <c r="D101" s="356" t="s">
        <v>147</v>
      </c>
      <c r="E101" s="356">
        <v>2.54</v>
      </c>
      <c r="F101" s="356">
        <v>2.56</v>
      </c>
      <c r="G101" s="356">
        <v>2.62</v>
      </c>
      <c r="H101" s="356">
        <v>0.4</v>
      </c>
      <c r="I101" s="333"/>
      <c r="J101" s="315">
        <f t="shared" si="55"/>
        <v>4.0317460317460321E-2</v>
      </c>
      <c r="K101" s="357"/>
      <c r="L101" s="308">
        <v>45335</v>
      </c>
      <c r="M101" s="358">
        <v>63</v>
      </c>
      <c r="N101" s="356" t="s">
        <v>146</v>
      </c>
      <c r="O101" s="356" t="s">
        <v>147</v>
      </c>
      <c r="P101" s="356">
        <v>2.54</v>
      </c>
      <c r="Q101" s="316">
        <f t="shared" si="56"/>
        <v>2.7009090000000002</v>
      </c>
      <c r="R101" s="316">
        <f t="shared" si="57"/>
        <v>2.7538679999999998</v>
      </c>
      <c r="S101" s="316">
        <f t="shared" si="58"/>
        <v>0.42367200000000005</v>
      </c>
      <c r="T101" s="317">
        <f t="shared" si="59"/>
        <v>0.14090900000000017</v>
      </c>
      <c r="U101" s="317">
        <f t="shared" si="59"/>
        <v>0.13386799999999965</v>
      </c>
      <c r="V101" s="317">
        <f t="shared" si="59"/>
        <v>2.3672000000000026E-2</v>
      </c>
      <c r="W101" s="357"/>
      <c r="X101" s="363"/>
      <c r="Y101" s="323">
        <f>T101*Y96</f>
        <v>97.001755600000109</v>
      </c>
      <c r="Z101" s="323">
        <f>U101*Z96</f>
        <v>126.52667887999966</v>
      </c>
      <c r="AA101" s="323">
        <f>V101*AA96</f>
        <v>27.667123440000029</v>
      </c>
      <c r="AB101" s="349">
        <f t="shared" si="60"/>
        <v>251.1955579199998</v>
      </c>
    </row>
    <row r="102" spans="1:28" s="337" customFormat="1" ht="15.75" thickBot="1">
      <c r="A102" s="308">
        <v>45351</v>
      </c>
      <c r="B102" s="358">
        <v>57</v>
      </c>
      <c r="C102" s="356" t="s">
        <v>86</v>
      </c>
      <c r="D102" s="356" t="s">
        <v>148</v>
      </c>
      <c r="E102" s="356">
        <v>2.23</v>
      </c>
      <c r="F102" s="356">
        <v>2.2400000000000002</v>
      </c>
      <c r="G102" s="356">
        <v>2.2799999999999998</v>
      </c>
      <c r="H102" s="356">
        <v>0.35</v>
      </c>
      <c r="I102" s="333"/>
      <c r="J102" s="315">
        <f t="shared" si="55"/>
        <v>3.9122807017543858E-2</v>
      </c>
      <c r="K102" s="357"/>
      <c r="L102" s="308">
        <v>45351</v>
      </c>
      <c r="M102" s="358">
        <v>57</v>
      </c>
      <c r="N102" s="356" t="s">
        <v>86</v>
      </c>
      <c r="O102" s="356" t="s">
        <v>148</v>
      </c>
      <c r="P102" s="356">
        <v>2.23</v>
      </c>
      <c r="Q102" s="316">
        <f t="shared" si="56"/>
        <v>2.3712705000000001</v>
      </c>
      <c r="R102" s="316">
        <f t="shared" si="57"/>
        <v>2.4177659999999999</v>
      </c>
      <c r="S102" s="316">
        <f t="shared" si="58"/>
        <v>0.37196400000000002</v>
      </c>
      <c r="T102" s="317">
        <f t="shared" si="59"/>
        <v>0.13127049999999985</v>
      </c>
      <c r="U102" s="317">
        <f t="shared" si="59"/>
        <v>0.13776600000000006</v>
      </c>
      <c r="V102" s="317">
        <f t="shared" si="59"/>
        <v>2.1964000000000039E-2</v>
      </c>
      <c r="W102" s="357"/>
      <c r="X102" s="318"/>
      <c r="Y102" s="336">
        <f>T102*Y96</f>
        <v>90.366612199999892</v>
      </c>
      <c r="Z102" s="336">
        <f>U102*Z96</f>
        <v>130.21091256000005</v>
      </c>
      <c r="AA102" s="336">
        <f>V102*AA96</f>
        <v>25.670864280000046</v>
      </c>
      <c r="AB102" s="351">
        <f>SUM(Y102:AA102)</f>
        <v>246.24838904000001</v>
      </c>
    </row>
    <row r="103" spans="1:28" ht="15.75" thickBot="1">
      <c r="AB103" s="319">
        <f>SUM(AB97:AB102)</f>
        <v>1235.4608101600002</v>
      </c>
    </row>
    <row r="104" spans="1:28" s="362" customFormat="1" ht="15.75" thickBot="1">
      <c r="A104" s="361"/>
      <c r="B104" s="361"/>
      <c r="C104" s="361"/>
      <c r="D104" s="361"/>
      <c r="E104" s="361"/>
      <c r="F104" s="361"/>
      <c r="G104" s="361"/>
      <c r="H104" s="361"/>
      <c r="I104" s="361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32"/>
    </row>
    <row r="105" spans="1:28">
      <c r="X105" s="397" t="s">
        <v>278</v>
      </c>
      <c r="Y105" s="398"/>
      <c r="Z105" s="398"/>
      <c r="AA105" s="398"/>
      <c r="AB105" s="399"/>
    </row>
    <row r="106" spans="1:28" s="337" customFormat="1">
      <c r="A106" s="403" t="s">
        <v>108</v>
      </c>
      <c r="B106" s="403"/>
      <c r="C106" s="403"/>
      <c r="D106" s="403"/>
      <c r="E106" s="403"/>
      <c r="F106" s="403"/>
      <c r="G106" s="403"/>
      <c r="H106" s="403"/>
      <c r="I106" s="361"/>
      <c r="J106" s="361"/>
      <c r="K106" s="357"/>
      <c r="L106" s="404" t="s">
        <v>134</v>
      </c>
      <c r="M106" s="404"/>
      <c r="N106" s="404"/>
      <c r="O106" s="404"/>
      <c r="P106" s="404"/>
      <c r="Q106" s="404"/>
      <c r="R106" s="404"/>
      <c r="S106" s="404"/>
      <c r="T106" s="404"/>
      <c r="U106" s="404"/>
      <c r="V106" s="404"/>
      <c r="W106" s="357"/>
      <c r="X106" s="352"/>
      <c r="Y106" s="365" t="s">
        <v>241</v>
      </c>
      <c r="Z106" s="365" t="s">
        <v>242</v>
      </c>
      <c r="AA106" s="365" t="s">
        <v>243</v>
      </c>
      <c r="AB106" s="331"/>
    </row>
    <row r="107" spans="1:28" s="337" customFormat="1" ht="30.75" thickBot="1">
      <c r="A107" s="356" t="s">
        <v>105</v>
      </c>
      <c r="B107" s="356" t="s">
        <v>75</v>
      </c>
      <c r="C107" s="356" t="s">
        <v>106</v>
      </c>
      <c r="D107" s="356" t="s">
        <v>107</v>
      </c>
      <c r="E107" s="356" t="s">
        <v>116</v>
      </c>
      <c r="F107" s="356" t="s">
        <v>117</v>
      </c>
      <c r="G107" s="356" t="s">
        <v>118</v>
      </c>
      <c r="H107" s="356" t="s">
        <v>119</v>
      </c>
      <c r="I107" s="311"/>
      <c r="J107" s="356" t="s">
        <v>120</v>
      </c>
      <c r="K107" s="357"/>
      <c r="L107" s="364" t="s">
        <v>105</v>
      </c>
      <c r="M107" s="364" t="s">
        <v>75</v>
      </c>
      <c r="N107" s="364" t="s">
        <v>106</v>
      </c>
      <c r="O107" s="364" t="s">
        <v>107</v>
      </c>
      <c r="P107" s="364" t="s">
        <v>116</v>
      </c>
      <c r="Q107" s="364" t="s">
        <v>117</v>
      </c>
      <c r="R107" s="364" t="s">
        <v>118</v>
      </c>
      <c r="S107" s="364" t="s">
        <v>119</v>
      </c>
      <c r="T107" s="364" t="s">
        <v>135</v>
      </c>
      <c r="U107" s="364" t="s">
        <v>136</v>
      </c>
      <c r="V107" s="364" t="s">
        <v>137</v>
      </c>
      <c r="W107" s="357"/>
      <c r="X107" s="344" t="s">
        <v>240</v>
      </c>
      <c r="Y107" s="336">
        <v>657.22</v>
      </c>
      <c r="Z107" s="336">
        <v>989.9</v>
      </c>
      <c r="AA107" s="336">
        <v>1190.45</v>
      </c>
      <c r="AB107" s="329" t="s">
        <v>280</v>
      </c>
    </row>
    <row r="108" spans="1:28" s="337" customFormat="1">
      <c r="A108" s="308">
        <v>45377</v>
      </c>
      <c r="B108" s="358">
        <v>5</v>
      </c>
      <c r="C108" s="356" t="s">
        <v>86</v>
      </c>
      <c r="D108" s="356" t="s">
        <v>109</v>
      </c>
      <c r="E108" s="365">
        <v>0.01</v>
      </c>
      <c r="F108" s="365">
        <v>0.01</v>
      </c>
      <c r="G108" s="365">
        <v>0.01</v>
      </c>
      <c r="H108" s="365">
        <v>0</v>
      </c>
      <c r="I108" s="311"/>
      <c r="J108" s="315">
        <f>E108/B108</f>
        <v>2E-3</v>
      </c>
      <c r="K108" s="357"/>
      <c r="L108" s="308">
        <v>45377</v>
      </c>
      <c r="M108" s="358">
        <v>5</v>
      </c>
      <c r="N108" s="356" t="s">
        <v>86</v>
      </c>
      <c r="O108" s="356" t="s">
        <v>109</v>
      </c>
      <c r="P108" s="365">
        <v>0.01</v>
      </c>
      <c r="Q108" s="316">
        <f>((J108*8.34*255)*M108)/2000</f>
        <v>1.0633500000000001E-2</v>
      </c>
      <c r="R108" s="316">
        <f>((J108*8.34*260)*M108)/2000</f>
        <v>1.0842000000000001E-2</v>
      </c>
      <c r="S108" s="316">
        <f>((J108*8.34*40)*M108)/2000</f>
        <v>1.6680000000000002E-3</v>
      </c>
      <c r="T108" s="360">
        <f>Q108-F108</f>
        <v>6.3350000000000038E-4</v>
      </c>
      <c r="U108" s="360">
        <f>R108-G108</f>
        <v>8.4200000000000073E-4</v>
      </c>
      <c r="V108" s="360">
        <f>S108-H108</f>
        <v>1.6680000000000002E-3</v>
      </c>
      <c r="W108" s="357"/>
      <c r="X108" s="366"/>
      <c r="Y108" s="347">
        <f>T108*Y107</f>
        <v>0.41634887000000026</v>
      </c>
      <c r="Z108" s="347">
        <f>U108*Z107</f>
        <v>0.83349580000000068</v>
      </c>
      <c r="AA108" s="347">
        <f>V108*AA107</f>
        <v>1.9856706000000004</v>
      </c>
      <c r="AB108" s="349">
        <f>SUM(Y108:AA108)</f>
        <v>3.2355152700000014</v>
      </c>
    </row>
    <row r="109" spans="1:28" s="337" customFormat="1">
      <c r="A109" s="308">
        <v>45426</v>
      </c>
      <c r="B109" s="358">
        <v>66</v>
      </c>
      <c r="C109" s="356" t="s">
        <v>87</v>
      </c>
      <c r="D109" s="356" t="s">
        <v>110</v>
      </c>
      <c r="E109" s="365">
        <v>3.11</v>
      </c>
      <c r="F109" s="365">
        <v>3.16</v>
      </c>
      <c r="G109" s="365">
        <v>3.22</v>
      </c>
      <c r="H109" s="365">
        <v>0.5</v>
      </c>
      <c r="I109" s="311"/>
      <c r="J109" s="315">
        <f>E109/B109</f>
        <v>4.7121212121212119E-2</v>
      </c>
      <c r="K109" s="357"/>
      <c r="L109" s="308">
        <v>45426</v>
      </c>
      <c r="M109" s="358">
        <v>66</v>
      </c>
      <c r="N109" s="356" t="s">
        <v>87</v>
      </c>
      <c r="O109" s="356" t="s">
        <v>110</v>
      </c>
      <c r="P109" s="365">
        <v>3.11</v>
      </c>
      <c r="Q109" s="316">
        <f>((J109*8.34*255)*M109)/2000</f>
        <v>3.3070184999999999</v>
      </c>
      <c r="R109" s="316">
        <f>((J109*8.34*260)*M109)/2000</f>
        <v>3.3718619999999997</v>
      </c>
      <c r="S109" s="316">
        <f>((J109*8.34*40)*M109)/2000</f>
        <v>0.51874799999999999</v>
      </c>
      <c r="T109" s="317">
        <f t="shared" ref="T109:V114" si="61">Q109-F109</f>
        <v>0.14701849999999972</v>
      </c>
      <c r="U109" s="317">
        <f t="shared" si="61"/>
        <v>0.1518619999999995</v>
      </c>
      <c r="V109" s="317">
        <f t="shared" si="61"/>
        <v>1.8747999999999987E-2</v>
      </c>
      <c r="W109" s="357"/>
      <c r="X109" s="363"/>
      <c r="Y109" s="323">
        <f>T109*Y107</f>
        <v>96.623498569999825</v>
      </c>
      <c r="Z109" s="323">
        <f>U109*Z107</f>
        <v>150.3281937999995</v>
      </c>
      <c r="AA109" s="323">
        <f>V109*AA107</f>
        <v>22.318556599999987</v>
      </c>
      <c r="AB109" s="349">
        <f t="shared" ref="AB109:AB113" si="62">SUM(Y109:AA109)</f>
        <v>269.27024896999927</v>
      </c>
    </row>
    <row r="110" spans="1:28" s="337" customFormat="1">
      <c r="A110" s="308">
        <v>45496</v>
      </c>
      <c r="B110" s="358">
        <v>63</v>
      </c>
      <c r="C110" s="356" t="s">
        <v>88</v>
      </c>
      <c r="D110" s="356" t="s">
        <v>111</v>
      </c>
      <c r="E110" s="365">
        <v>2.97</v>
      </c>
      <c r="F110" s="365">
        <v>3.02</v>
      </c>
      <c r="G110" s="365">
        <v>3.08</v>
      </c>
      <c r="H110" s="365">
        <v>0.47</v>
      </c>
      <c r="I110" s="311"/>
      <c r="J110" s="315">
        <f t="shared" ref="J110:J114" si="63">E110/B110</f>
        <v>4.7142857142857146E-2</v>
      </c>
      <c r="K110" s="357"/>
      <c r="L110" s="308">
        <v>45496</v>
      </c>
      <c r="M110" s="358">
        <v>63</v>
      </c>
      <c r="N110" s="356" t="s">
        <v>88</v>
      </c>
      <c r="O110" s="356" t="s">
        <v>111</v>
      </c>
      <c r="P110" s="365">
        <v>2.97</v>
      </c>
      <c r="Q110" s="316">
        <f t="shared" ref="Q110:Q114" si="64">((J110*8.34*255)*M110)/2000</f>
        <v>3.1581494999999999</v>
      </c>
      <c r="R110" s="316">
        <f t="shared" ref="R110:R114" si="65">((J110*8.34*260)*M110)/2000</f>
        <v>3.2200739999999999</v>
      </c>
      <c r="S110" s="316">
        <f t="shared" ref="S110:S114" si="66">((J110*8.34*40)*M110)/2000</f>
        <v>0.49539600000000006</v>
      </c>
      <c r="T110" s="317">
        <f t="shared" si="61"/>
        <v>0.13814949999999993</v>
      </c>
      <c r="U110" s="317">
        <f t="shared" si="61"/>
        <v>0.14007399999999981</v>
      </c>
      <c r="V110" s="317">
        <f t="shared" si="61"/>
        <v>2.5396000000000085E-2</v>
      </c>
      <c r="W110" s="357"/>
      <c r="X110" s="363"/>
      <c r="Y110" s="323">
        <f>T110*Y107</f>
        <v>90.79461438999995</v>
      </c>
      <c r="Z110" s="323">
        <f>U110*Z107</f>
        <v>138.6592525999998</v>
      </c>
      <c r="AA110" s="323">
        <f>V110*AA107</f>
        <v>30.232668200000102</v>
      </c>
      <c r="AB110" s="349">
        <f t="shared" si="62"/>
        <v>259.68653518999986</v>
      </c>
    </row>
    <row r="111" spans="1:28" s="337" customFormat="1">
      <c r="A111" s="308">
        <v>45568</v>
      </c>
      <c r="B111" s="358">
        <v>63</v>
      </c>
      <c r="C111" s="356" t="s">
        <v>89</v>
      </c>
      <c r="D111" s="356" t="s">
        <v>112</v>
      </c>
      <c r="E111" s="365">
        <v>2.65</v>
      </c>
      <c r="F111" s="365">
        <v>2.68</v>
      </c>
      <c r="G111" s="365">
        <v>2.73</v>
      </c>
      <c r="H111" s="365">
        <v>0.42</v>
      </c>
      <c r="I111" s="311"/>
      <c r="J111" s="315">
        <f t="shared" si="63"/>
        <v>4.206349206349206E-2</v>
      </c>
      <c r="K111" s="357"/>
      <c r="L111" s="308">
        <v>45568</v>
      </c>
      <c r="M111" s="358">
        <v>63</v>
      </c>
      <c r="N111" s="356" t="s">
        <v>89</v>
      </c>
      <c r="O111" s="356" t="s">
        <v>112</v>
      </c>
      <c r="P111" s="365">
        <v>2.65</v>
      </c>
      <c r="Q111" s="316">
        <f t="shared" si="64"/>
        <v>2.8178774999999998</v>
      </c>
      <c r="R111" s="316">
        <f t="shared" si="65"/>
        <v>2.8731299999999997</v>
      </c>
      <c r="S111" s="316">
        <f t="shared" si="66"/>
        <v>0.44201999999999991</v>
      </c>
      <c r="T111" s="317">
        <f t="shared" si="61"/>
        <v>0.13787749999999965</v>
      </c>
      <c r="U111" s="317">
        <f t="shared" si="61"/>
        <v>0.14312999999999976</v>
      </c>
      <c r="V111" s="317">
        <f t="shared" si="61"/>
        <v>2.2019999999999929E-2</v>
      </c>
      <c r="W111" s="357"/>
      <c r="X111" s="363"/>
      <c r="Y111" s="323">
        <f>T111*Y107</f>
        <v>90.615850549999777</v>
      </c>
      <c r="Z111" s="323">
        <f>U111*Z107</f>
        <v>141.68438699999976</v>
      </c>
      <c r="AA111" s="323">
        <f>V111*AA107</f>
        <v>26.213708999999916</v>
      </c>
      <c r="AB111" s="349">
        <f t="shared" si="62"/>
        <v>258.51394654999945</v>
      </c>
    </row>
    <row r="112" spans="1:28" s="337" customFormat="1">
      <c r="A112" s="308">
        <v>45645</v>
      </c>
      <c r="B112" s="358">
        <v>63</v>
      </c>
      <c r="C112" s="356" t="s">
        <v>90</v>
      </c>
      <c r="D112" s="356" t="s">
        <v>113</v>
      </c>
      <c r="E112" s="365">
        <v>2.65</v>
      </c>
      <c r="F112" s="365">
        <v>2.68</v>
      </c>
      <c r="G112" s="309">
        <v>2.73</v>
      </c>
      <c r="H112" s="365">
        <v>0.42</v>
      </c>
      <c r="I112" s="311"/>
      <c r="J112" s="315">
        <f t="shared" si="63"/>
        <v>4.206349206349206E-2</v>
      </c>
      <c r="K112" s="357"/>
      <c r="L112" s="308">
        <v>45645</v>
      </c>
      <c r="M112" s="358">
        <v>63</v>
      </c>
      <c r="N112" s="356" t="s">
        <v>90</v>
      </c>
      <c r="O112" s="356" t="s">
        <v>113</v>
      </c>
      <c r="P112" s="365">
        <v>2.65</v>
      </c>
      <c r="Q112" s="316">
        <f t="shared" si="64"/>
        <v>2.8178774999999998</v>
      </c>
      <c r="R112" s="316">
        <f t="shared" si="65"/>
        <v>2.8731299999999997</v>
      </c>
      <c r="S112" s="316">
        <f t="shared" si="66"/>
        <v>0.44201999999999991</v>
      </c>
      <c r="T112" s="317">
        <f t="shared" si="61"/>
        <v>0.13787749999999965</v>
      </c>
      <c r="U112" s="317">
        <f t="shared" si="61"/>
        <v>0.14312999999999976</v>
      </c>
      <c r="V112" s="317">
        <f t="shared" si="61"/>
        <v>2.2019999999999929E-2</v>
      </c>
      <c r="W112" s="357"/>
      <c r="X112" s="363"/>
      <c r="Y112" s="323">
        <f>T112*Y107</f>
        <v>90.615850549999777</v>
      </c>
      <c r="Z112" s="323">
        <f>U112*Z107</f>
        <v>141.68438699999976</v>
      </c>
      <c r="AA112" s="323">
        <f>V112*AA107</f>
        <v>26.213708999999916</v>
      </c>
      <c r="AB112" s="349">
        <f t="shared" si="62"/>
        <v>258.51394654999945</v>
      </c>
    </row>
    <row r="113" spans="1:29" s="337" customFormat="1">
      <c r="A113" s="308">
        <v>45708</v>
      </c>
      <c r="B113" s="358">
        <v>63</v>
      </c>
      <c r="C113" s="356" t="s">
        <v>91</v>
      </c>
      <c r="D113" s="356" t="s">
        <v>114</v>
      </c>
      <c r="E113" s="365">
        <v>2.4500000000000002</v>
      </c>
      <c r="F113" s="365">
        <v>2.4700000000000002</v>
      </c>
      <c r="G113" s="365">
        <v>2.52</v>
      </c>
      <c r="H113" s="365">
        <v>0.39</v>
      </c>
      <c r="I113" s="311"/>
      <c r="J113" s="315">
        <f t="shared" si="63"/>
        <v>3.888888888888889E-2</v>
      </c>
      <c r="K113" s="357"/>
      <c r="L113" s="308">
        <v>45708</v>
      </c>
      <c r="M113" s="358">
        <v>63</v>
      </c>
      <c r="N113" s="356" t="s">
        <v>91</v>
      </c>
      <c r="O113" s="356" t="s">
        <v>114</v>
      </c>
      <c r="P113" s="365">
        <v>2.4500000000000002</v>
      </c>
      <c r="Q113" s="316">
        <f t="shared" si="64"/>
        <v>2.6052075000000001</v>
      </c>
      <c r="R113" s="316">
        <f t="shared" si="65"/>
        <v>2.6562899999999994</v>
      </c>
      <c r="S113" s="316">
        <f t="shared" si="66"/>
        <v>0.40865999999999997</v>
      </c>
      <c r="T113" s="317">
        <f t="shared" si="61"/>
        <v>0.13520749999999992</v>
      </c>
      <c r="U113" s="317">
        <f t="shared" si="61"/>
        <v>0.13628999999999936</v>
      </c>
      <c r="V113" s="317">
        <f t="shared" si="61"/>
        <v>1.8659999999999954E-2</v>
      </c>
      <c r="W113" s="357"/>
      <c r="X113" s="363"/>
      <c r="Y113" s="323">
        <f>T113*Y107</f>
        <v>88.861073149999953</v>
      </c>
      <c r="Z113" s="323">
        <f>U113*Z107</f>
        <v>134.91347099999936</v>
      </c>
      <c r="AA113" s="323">
        <f>V113*AA107</f>
        <v>22.213796999999946</v>
      </c>
      <c r="AB113" s="349">
        <f t="shared" si="62"/>
        <v>245.98834114999926</v>
      </c>
    </row>
    <row r="114" spans="1:29" s="337" customFormat="1" ht="15.75" thickBot="1">
      <c r="A114" s="308">
        <v>45722</v>
      </c>
      <c r="B114" s="358">
        <v>44</v>
      </c>
      <c r="C114" s="356" t="s">
        <v>92</v>
      </c>
      <c r="D114" s="356" t="s">
        <v>115</v>
      </c>
      <c r="E114" s="365">
        <v>1.64</v>
      </c>
      <c r="F114" s="365">
        <v>1.64</v>
      </c>
      <c r="G114" s="365">
        <v>1.68</v>
      </c>
      <c r="H114" s="365">
        <v>0.26</v>
      </c>
      <c r="I114" s="311"/>
      <c r="J114" s="315">
        <f t="shared" si="63"/>
        <v>3.727272727272727E-2</v>
      </c>
      <c r="K114" s="357"/>
      <c r="L114" s="308">
        <v>45722</v>
      </c>
      <c r="M114" s="358">
        <v>44</v>
      </c>
      <c r="N114" s="356" t="s">
        <v>92</v>
      </c>
      <c r="O114" s="356" t="s">
        <v>115</v>
      </c>
      <c r="P114" s="365">
        <v>1.64</v>
      </c>
      <c r="Q114" s="316">
        <f t="shared" si="64"/>
        <v>1.7438939999999998</v>
      </c>
      <c r="R114" s="316">
        <f t="shared" si="65"/>
        <v>1.7780879999999999</v>
      </c>
      <c r="S114" s="316">
        <f t="shared" si="66"/>
        <v>0.27355200000000002</v>
      </c>
      <c r="T114" s="317">
        <f t="shared" si="61"/>
        <v>0.10389399999999993</v>
      </c>
      <c r="U114" s="317">
        <f t="shared" si="61"/>
        <v>9.8087999999999953E-2</v>
      </c>
      <c r="V114" s="317">
        <f t="shared" si="61"/>
        <v>1.3552000000000008E-2</v>
      </c>
      <c r="W114" s="357"/>
      <c r="X114" s="318"/>
      <c r="Y114" s="336">
        <f>T114*Y107</f>
        <v>68.281214679999962</v>
      </c>
      <c r="Z114" s="336">
        <f>U114*Z107</f>
        <v>97.09731119999995</v>
      </c>
      <c r="AA114" s="336">
        <f>V114*AA107</f>
        <v>16.13297840000001</v>
      </c>
      <c r="AB114" s="351">
        <f>SUM(Y114:AA114)</f>
        <v>181.51150427999994</v>
      </c>
    </row>
    <row r="115" spans="1:29" ht="15.75" thickBot="1">
      <c r="AB115" s="346">
        <f>SUM(AB108:AB114)</f>
        <v>1476.7200379599972</v>
      </c>
    </row>
    <row r="116" spans="1:29" ht="15.75" thickBot="1"/>
    <row r="117" spans="1:29" ht="15.75" thickBot="1">
      <c r="AB117" s="353" t="s">
        <v>280</v>
      </c>
      <c r="AC117" s="322">
        <f>SUM(AB23,AB35,AB47,AB58,AB69,AB81,AB92,AB103,AB115)</f>
        <v>10090.50926033</v>
      </c>
    </row>
  </sheetData>
  <mergeCells count="29">
    <mergeCell ref="A95:H95"/>
    <mergeCell ref="L95:V95"/>
    <mergeCell ref="A106:H106"/>
    <mergeCell ref="L106:V106"/>
    <mergeCell ref="L3:V3"/>
    <mergeCell ref="A3:H3"/>
    <mergeCell ref="A14:H14"/>
    <mergeCell ref="L14:V14"/>
    <mergeCell ref="A26:H26"/>
    <mergeCell ref="L26:V26"/>
    <mergeCell ref="A38:H38"/>
    <mergeCell ref="L38:V38"/>
    <mergeCell ref="A50:H50"/>
    <mergeCell ref="L50:V50"/>
    <mergeCell ref="A61:H61"/>
    <mergeCell ref="L61:V61"/>
    <mergeCell ref="A84:H84"/>
    <mergeCell ref="L84:V84"/>
    <mergeCell ref="A72:H72"/>
    <mergeCell ref="L72:V72"/>
    <mergeCell ref="X60:AB60"/>
    <mergeCell ref="X71:AB71"/>
    <mergeCell ref="X83:AB83"/>
    <mergeCell ref="X94:AB94"/>
    <mergeCell ref="X105:AB105"/>
    <mergeCell ref="X13:AB13"/>
    <mergeCell ref="X25:AB25"/>
    <mergeCell ref="X37:AB37"/>
    <mergeCell ref="X49:AB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80"/>
  <sheetViews>
    <sheetView tabSelected="1" topLeftCell="F22" zoomScale="85" zoomScaleNormal="85" workbookViewId="0">
      <selection activeCell="AA71" sqref="AA71"/>
    </sheetView>
  </sheetViews>
  <sheetFormatPr defaultRowHeight="15"/>
  <cols>
    <col min="1" max="1" width="12.28515625" style="337" customWidth="1"/>
    <col min="2" max="2" width="9.5703125" style="337" customWidth="1"/>
    <col min="3" max="3" width="23.42578125" style="337" customWidth="1"/>
    <col min="4" max="4" width="24" style="337" customWidth="1"/>
    <col min="5" max="5" width="11.7109375" style="357" customWidth="1"/>
    <col min="6" max="8" width="11.7109375" style="337" customWidth="1"/>
    <col min="9" max="9" width="2.7109375" style="359" customWidth="1"/>
    <col min="10" max="10" width="14.140625" style="337" customWidth="1"/>
    <col min="11" max="11" width="9.140625" style="337" customWidth="1"/>
    <col min="12" max="12" width="23.42578125" style="337" customWidth="1"/>
    <col min="13" max="13" width="24" style="337" customWidth="1"/>
    <col min="14" max="14" width="13" style="337" customWidth="1"/>
    <col min="15" max="15" width="13" style="357" customWidth="1"/>
    <col min="16" max="16" width="11.7109375" style="370" customWidth="1"/>
    <col min="17" max="19" width="11.7109375" style="337" customWidth="1"/>
    <col min="20" max="20" width="11.7109375" style="377" customWidth="1"/>
    <col min="21" max="23" width="11.7109375" style="337" customWidth="1"/>
    <col min="24" max="24" width="9.140625" style="357"/>
    <col min="25" max="29" width="13.28515625" style="357" customWidth="1"/>
  </cols>
  <sheetData>
    <row r="1" spans="1:29" s="10" customFormat="1" ht="15.75" thickBot="1">
      <c r="A1" s="301" t="s">
        <v>103</v>
      </c>
      <c r="B1" s="302"/>
      <c r="C1" s="302"/>
      <c r="D1" s="302"/>
      <c r="E1" s="343"/>
      <c r="F1" s="302"/>
      <c r="G1" s="302"/>
      <c r="H1" s="302"/>
      <c r="I1" s="312"/>
      <c r="J1" s="302"/>
      <c r="K1" s="302"/>
      <c r="L1" s="302"/>
      <c r="M1" s="302"/>
      <c r="N1" s="302"/>
      <c r="O1" s="343"/>
      <c r="P1" s="302"/>
      <c r="Q1" s="337"/>
      <c r="R1" s="337"/>
      <c r="S1" s="337"/>
      <c r="T1" s="377"/>
      <c r="U1" s="337"/>
      <c r="V1" s="337"/>
      <c r="W1" s="337"/>
      <c r="X1" s="333"/>
      <c r="Y1" s="333"/>
      <c r="Z1" s="333"/>
      <c r="AA1" s="333"/>
      <c r="AB1" s="333"/>
      <c r="AC1" s="333"/>
    </row>
    <row r="2" spans="1:29">
      <c r="X2" s="400" t="s">
        <v>286</v>
      </c>
      <c r="Y2" s="401"/>
      <c r="Z2" s="401"/>
      <c r="AA2" s="401"/>
      <c r="AB2" s="401"/>
      <c r="AC2" s="402"/>
    </row>
    <row r="3" spans="1:29" s="13" customFormat="1">
      <c r="A3" s="403" t="s">
        <v>187</v>
      </c>
      <c r="B3" s="403"/>
      <c r="C3" s="403"/>
      <c r="D3" s="403"/>
      <c r="E3" s="403"/>
      <c r="F3" s="403"/>
      <c r="G3" s="403"/>
      <c r="H3" s="403"/>
      <c r="I3" s="313"/>
      <c r="J3" s="406" t="s">
        <v>134</v>
      </c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352"/>
      <c r="Y3" s="392" t="s">
        <v>285</v>
      </c>
      <c r="Z3" s="365" t="s">
        <v>241</v>
      </c>
      <c r="AA3" s="365" t="s">
        <v>242</v>
      </c>
      <c r="AB3" s="365" t="s">
        <v>243</v>
      </c>
      <c r="AC3" s="348"/>
    </row>
    <row r="4" spans="1:29" ht="30.75" thickBot="1">
      <c r="A4" s="356" t="s">
        <v>105</v>
      </c>
      <c r="B4" s="356" t="s">
        <v>75</v>
      </c>
      <c r="C4" s="356" t="s">
        <v>106</v>
      </c>
      <c r="D4" s="356" t="s">
        <v>107</v>
      </c>
      <c r="E4" s="378" t="s">
        <v>116</v>
      </c>
      <c r="F4" s="356" t="s">
        <v>117</v>
      </c>
      <c r="G4" s="356" t="s">
        <v>118</v>
      </c>
      <c r="H4" s="356" t="s">
        <v>119</v>
      </c>
      <c r="I4" s="311"/>
      <c r="J4" s="356" t="s">
        <v>105</v>
      </c>
      <c r="K4" s="356" t="s">
        <v>75</v>
      </c>
      <c r="L4" s="356" t="s">
        <v>106</v>
      </c>
      <c r="M4" s="356" t="s">
        <v>107</v>
      </c>
      <c r="N4" s="378" t="s">
        <v>282</v>
      </c>
      <c r="O4" s="378" t="s">
        <v>284</v>
      </c>
      <c r="P4" s="371" t="s">
        <v>120</v>
      </c>
      <c r="Q4" s="356" t="s">
        <v>117</v>
      </c>
      <c r="R4" s="356" t="s">
        <v>118</v>
      </c>
      <c r="S4" s="356" t="s">
        <v>119</v>
      </c>
      <c r="T4" s="378" t="s">
        <v>283</v>
      </c>
      <c r="U4" s="356" t="s">
        <v>135</v>
      </c>
      <c r="V4" s="356" t="s">
        <v>136</v>
      </c>
      <c r="W4" s="356" t="s">
        <v>137</v>
      </c>
      <c r="X4" s="344" t="s">
        <v>240</v>
      </c>
      <c r="Y4" s="336">
        <v>979.89</v>
      </c>
      <c r="Z4" s="336">
        <v>599.15</v>
      </c>
      <c r="AA4" s="336">
        <v>809.96</v>
      </c>
      <c r="AB4" s="336">
        <v>1172.08</v>
      </c>
      <c r="AC4" s="329" t="s">
        <v>280</v>
      </c>
    </row>
    <row r="5" spans="1:29">
      <c r="A5" s="367">
        <v>43560</v>
      </c>
      <c r="B5" s="356">
        <v>1</v>
      </c>
      <c r="C5" s="367" t="s">
        <v>197</v>
      </c>
      <c r="D5" s="367" t="s">
        <v>198</v>
      </c>
      <c r="E5" s="378">
        <v>0</v>
      </c>
      <c r="F5" s="356">
        <v>0</v>
      </c>
      <c r="G5" s="356">
        <v>0</v>
      </c>
      <c r="H5" s="356">
        <v>0</v>
      </c>
      <c r="J5" s="367">
        <v>43560</v>
      </c>
      <c r="K5" s="356">
        <v>1</v>
      </c>
      <c r="L5" s="367" t="s">
        <v>197</v>
      </c>
      <c r="M5" s="367" t="s">
        <v>198</v>
      </c>
      <c r="N5" s="369">
        <v>32032.26</v>
      </c>
      <c r="O5" s="369">
        <f t="shared" ref="O5:O10" si="0">N5*0.000001</f>
        <v>3.203226E-2</v>
      </c>
      <c r="P5" s="321">
        <f t="shared" ref="P5:P10" si="1">(N5/K5)*0.000001</f>
        <v>3.203226E-2</v>
      </c>
      <c r="Q5" s="316">
        <f t="shared" ref="Q5:Q10" si="2">((P5*8.34*255)*K5)/2000</f>
        <v>3.4061503670999999E-2</v>
      </c>
      <c r="R5" s="316">
        <f t="shared" ref="R5:R10" si="3">((P5*8.34*260)*K5)/2000</f>
        <v>3.4729376292E-2</v>
      </c>
      <c r="S5" s="316">
        <f t="shared" ref="S5:S10" si="4">((P5*8.34*40)*K5)/2000</f>
        <v>5.3429809679999994E-3</v>
      </c>
      <c r="T5" s="383">
        <f>E5-O5</f>
        <v>-3.203226E-2</v>
      </c>
      <c r="U5" s="383">
        <f t="shared" ref="U5:W5" si="5">F5-P5</f>
        <v>-3.203226E-2</v>
      </c>
      <c r="V5" s="383">
        <f t="shared" si="5"/>
        <v>-3.4061503670999999E-2</v>
      </c>
      <c r="W5" s="383">
        <f t="shared" si="5"/>
        <v>-3.4729376292E-2</v>
      </c>
      <c r="X5" s="366"/>
      <c r="Y5" s="347">
        <f>T5*Y4</f>
        <v>-31.388091251399999</v>
      </c>
      <c r="Z5" s="347">
        <f>U5*Z4</f>
        <v>-19.192128578999998</v>
      </c>
      <c r="AA5" s="347">
        <f>V5*AA4</f>
        <v>-27.588455513363161</v>
      </c>
      <c r="AB5" s="347">
        <f>W5*AB4</f>
        <v>-40.705607364327356</v>
      </c>
      <c r="AC5" s="393">
        <f>SUM(Z5:AB5)</f>
        <v>-87.486191456690506</v>
      </c>
    </row>
    <row r="6" spans="1:29">
      <c r="A6" s="308">
        <v>43627</v>
      </c>
      <c r="B6" s="358">
        <v>84</v>
      </c>
      <c r="C6" s="358" t="s">
        <v>188</v>
      </c>
      <c r="D6" s="358" t="s">
        <v>189</v>
      </c>
      <c r="E6" s="378">
        <v>4.87</v>
      </c>
      <c r="F6" s="356">
        <v>5</v>
      </c>
      <c r="G6" s="356">
        <v>5.0999999999999996</v>
      </c>
      <c r="H6" s="356">
        <v>0.78</v>
      </c>
      <c r="J6" s="308">
        <v>43627</v>
      </c>
      <c r="K6" s="358">
        <v>84</v>
      </c>
      <c r="L6" s="358" t="s">
        <v>188</v>
      </c>
      <c r="M6" s="358" t="s">
        <v>189</v>
      </c>
      <c r="N6" s="381">
        <v>3651354.9</v>
      </c>
      <c r="O6" s="369">
        <f t="shared" si="0"/>
        <v>3.6513548999999998</v>
      </c>
      <c r="P6" s="321">
        <f t="shared" si="1"/>
        <v>4.3468510714285716E-2</v>
      </c>
      <c r="Q6" s="316">
        <f t="shared" si="2"/>
        <v>3.882668232915</v>
      </c>
      <c r="R6" s="316">
        <f t="shared" si="3"/>
        <v>3.9587989825799998</v>
      </c>
      <c r="S6" s="316">
        <f t="shared" si="4"/>
        <v>0.60904599731999998</v>
      </c>
      <c r="T6" s="383">
        <f t="shared" ref="T6:T10" si="6">E6-O6</f>
        <v>1.2186451000000003</v>
      </c>
      <c r="U6" s="383">
        <f t="shared" ref="U6:U10" si="7">F6-P6</f>
        <v>4.9565314892857142</v>
      </c>
      <c r="V6" s="383">
        <f t="shared" ref="V6:V10" si="8">G6-Q6</f>
        <v>1.2173317670849997</v>
      </c>
      <c r="W6" s="383">
        <f t="shared" ref="W6:W10" si="9">H6-R6</f>
        <v>-3.17879898258</v>
      </c>
      <c r="X6" s="363"/>
      <c r="Y6" s="347">
        <f>T6*Y4</f>
        <v>1194.1381470390002</v>
      </c>
      <c r="Z6" s="347">
        <f>U6*Z4</f>
        <v>2969.7058418055353</v>
      </c>
      <c r="AA6" s="347">
        <f>V6*AA4</f>
        <v>985.99003806816643</v>
      </c>
      <c r="AB6" s="347">
        <f>W6*AB4</f>
        <v>-3725.8067115023664</v>
      </c>
      <c r="AC6" s="394">
        <f>SUM(Z6:AB6)</f>
        <v>229.88916837133547</v>
      </c>
    </row>
    <row r="7" spans="1:29">
      <c r="A7" s="308">
        <v>43693</v>
      </c>
      <c r="B7" s="358">
        <v>78</v>
      </c>
      <c r="C7" s="358" t="s">
        <v>190</v>
      </c>
      <c r="D7" s="358" t="s">
        <v>191</v>
      </c>
      <c r="E7" s="378">
        <v>4.45</v>
      </c>
      <c r="F7" s="356">
        <v>4.5599999999999996</v>
      </c>
      <c r="G7" s="356">
        <v>4.6500000000000004</v>
      </c>
      <c r="H7" s="356">
        <v>0.72</v>
      </c>
      <c r="J7" s="308">
        <v>43693</v>
      </c>
      <c r="K7" s="358">
        <v>78</v>
      </c>
      <c r="L7" s="358" t="s">
        <v>190</v>
      </c>
      <c r="M7" s="358" t="s">
        <v>191</v>
      </c>
      <c r="N7" s="381">
        <v>3349812.9</v>
      </c>
      <c r="O7" s="369">
        <f t="shared" si="0"/>
        <v>3.3498128999999999</v>
      </c>
      <c r="P7" s="321">
        <f t="shared" si="1"/>
        <v>4.2946319230769227E-2</v>
      </c>
      <c r="Q7" s="316">
        <f t="shared" si="2"/>
        <v>3.5620235472149995</v>
      </c>
      <c r="R7" s="316">
        <f t="shared" si="3"/>
        <v>3.6318671461799994</v>
      </c>
      <c r="S7" s="316">
        <f t="shared" si="4"/>
        <v>0.55874879171999992</v>
      </c>
      <c r="T7" s="383">
        <f t="shared" si="6"/>
        <v>1.1001871000000003</v>
      </c>
      <c r="U7" s="383">
        <f t="shared" si="7"/>
        <v>4.5170536807692301</v>
      </c>
      <c r="V7" s="383">
        <f t="shared" si="8"/>
        <v>1.0879764527850009</v>
      </c>
      <c r="W7" s="383">
        <f t="shared" si="9"/>
        <v>-2.9118671461799996</v>
      </c>
      <c r="X7" s="363"/>
      <c r="Y7" s="347">
        <f>T7*Y4</f>
        <v>1078.0623374190002</v>
      </c>
      <c r="Z7" s="347">
        <f>U7*Z4</f>
        <v>2706.3927128328842</v>
      </c>
      <c r="AA7" s="347">
        <f>V7*AA4</f>
        <v>881.2174076977393</v>
      </c>
      <c r="AB7" s="347">
        <f>W7*AB4</f>
        <v>-3412.941244694654</v>
      </c>
      <c r="AC7" s="394">
        <f t="shared" ref="AC7:AC10" si="10">SUM(Z7:AB7)</f>
        <v>174.66887583596963</v>
      </c>
    </row>
    <row r="8" spans="1:29">
      <c r="A8" s="308">
        <v>43789</v>
      </c>
      <c r="B8" s="358">
        <v>63</v>
      </c>
      <c r="C8" s="358" t="s">
        <v>192</v>
      </c>
      <c r="D8" s="358" t="s">
        <v>193</v>
      </c>
      <c r="E8" s="378">
        <v>4</v>
      </c>
      <c r="F8" s="356">
        <v>4.12</v>
      </c>
      <c r="G8" s="356">
        <v>4.2</v>
      </c>
      <c r="H8" s="356">
        <v>0.64</v>
      </c>
      <c r="J8" s="308">
        <v>43789</v>
      </c>
      <c r="K8" s="358">
        <v>63</v>
      </c>
      <c r="L8" s="358" t="s">
        <v>192</v>
      </c>
      <c r="M8" s="358" t="s">
        <v>193</v>
      </c>
      <c r="N8" s="381">
        <v>2036348.45</v>
      </c>
      <c r="O8" s="369">
        <f t="shared" si="0"/>
        <v>2.0363484499999998</v>
      </c>
      <c r="P8" s="321">
        <f t="shared" si="1"/>
        <v>3.232299126984127E-2</v>
      </c>
      <c r="Q8" s="316">
        <f t="shared" si="2"/>
        <v>2.1653511243075001</v>
      </c>
      <c r="R8" s="316">
        <f t="shared" si="3"/>
        <v>2.2078089894900002</v>
      </c>
      <c r="S8" s="316">
        <f t="shared" si="4"/>
        <v>0.33966292145999999</v>
      </c>
      <c r="T8" s="383">
        <f t="shared" si="6"/>
        <v>1.9636515500000002</v>
      </c>
      <c r="U8" s="383">
        <f t="shared" si="7"/>
        <v>4.087677008730159</v>
      </c>
      <c r="V8" s="383">
        <f t="shared" si="8"/>
        <v>2.0346488756925001</v>
      </c>
      <c r="W8" s="383">
        <f t="shared" si="9"/>
        <v>-1.56780898949</v>
      </c>
      <c r="X8" s="363"/>
      <c r="Y8" s="347">
        <f>T8*Y4</f>
        <v>1924.1625173295001</v>
      </c>
      <c r="Z8" s="347">
        <f>U8*Z4</f>
        <v>2449.1316797806749</v>
      </c>
      <c r="AA8" s="347">
        <f>V8*AA4</f>
        <v>1647.9842033558975</v>
      </c>
      <c r="AB8" s="347">
        <f>W8*AB4</f>
        <v>-1837.5975604014391</v>
      </c>
      <c r="AC8" s="394">
        <f t="shared" si="10"/>
        <v>2259.5183227351326</v>
      </c>
    </row>
    <row r="9" spans="1:29" s="13" customFormat="1">
      <c r="A9" s="308">
        <v>43811</v>
      </c>
      <c r="B9" s="358">
        <v>59</v>
      </c>
      <c r="C9" s="358" t="s">
        <v>194</v>
      </c>
      <c r="D9" s="358" t="s">
        <v>195</v>
      </c>
      <c r="E9" s="378">
        <v>3.9</v>
      </c>
      <c r="F9" s="356">
        <v>4.0199999999999996</v>
      </c>
      <c r="G9" s="356">
        <v>4.0999999999999996</v>
      </c>
      <c r="H9" s="356">
        <v>0.63</v>
      </c>
      <c r="I9" s="359"/>
      <c r="J9" s="308">
        <v>43811</v>
      </c>
      <c r="K9" s="358">
        <v>59</v>
      </c>
      <c r="L9" s="358" t="s">
        <v>194</v>
      </c>
      <c r="M9" s="358" t="s">
        <v>195</v>
      </c>
      <c r="N9" s="381">
        <v>2914419.32</v>
      </c>
      <c r="O9" s="369">
        <f t="shared" si="0"/>
        <v>2.9144193199999995</v>
      </c>
      <c r="P9" s="321">
        <f t="shared" si="1"/>
        <v>4.9396937627118637E-2</v>
      </c>
      <c r="Q9" s="316">
        <f t="shared" si="2"/>
        <v>3.0990477839219999</v>
      </c>
      <c r="R9" s="316">
        <f t="shared" si="3"/>
        <v>3.1598134267439995</v>
      </c>
      <c r="S9" s="316">
        <f t="shared" si="4"/>
        <v>0.48612514257599998</v>
      </c>
      <c r="T9" s="383">
        <f t="shared" si="6"/>
        <v>0.98558068000000043</v>
      </c>
      <c r="U9" s="383">
        <f t="shared" si="7"/>
        <v>3.9706030623728807</v>
      </c>
      <c r="V9" s="383">
        <f t="shared" si="8"/>
        <v>1.0009522160779998</v>
      </c>
      <c r="W9" s="383">
        <f t="shared" si="9"/>
        <v>-2.5298134267439996</v>
      </c>
      <c r="X9" s="363"/>
      <c r="Y9" s="347">
        <f>T9*Y4</f>
        <v>965.76065252520038</v>
      </c>
      <c r="Z9" s="347">
        <f>U9*Z4</f>
        <v>2378.9868248207113</v>
      </c>
      <c r="AA9" s="347">
        <f>V9*AA4</f>
        <v>810.73125693453676</v>
      </c>
      <c r="AB9" s="347">
        <f>W9*AB4</f>
        <v>-2965.1437212181067</v>
      </c>
      <c r="AC9" s="394">
        <f t="shared" si="10"/>
        <v>224.57436053714127</v>
      </c>
    </row>
    <row r="10" spans="1:29" s="13" customFormat="1" ht="15.75" thickBot="1">
      <c r="A10" s="308">
        <v>43523</v>
      </c>
      <c r="B10" s="358">
        <v>80</v>
      </c>
      <c r="C10" s="358" t="s">
        <v>176</v>
      </c>
      <c r="D10" s="358" t="s">
        <v>196</v>
      </c>
      <c r="E10" s="378">
        <v>5.04</v>
      </c>
      <c r="F10" s="356">
        <v>5.19</v>
      </c>
      <c r="G10" s="356">
        <v>5.29</v>
      </c>
      <c r="H10" s="356">
        <v>0.81</v>
      </c>
      <c r="I10" s="359"/>
      <c r="J10" s="308">
        <v>43523</v>
      </c>
      <c r="K10" s="358">
        <v>80</v>
      </c>
      <c r="L10" s="358" t="s">
        <v>176</v>
      </c>
      <c r="M10" s="358" t="s">
        <v>196</v>
      </c>
      <c r="N10" s="372">
        <v>3000032.35</v>
      </c>
      <c r="O10" s="369">
        <f t="shared" si="0"/>
        <v>3.0000323500000001</v>
      </c>
      <c r="P10" s="321">
        <f t="shared" si="1"/>
        <v>3.7500404374999997E-2</v>
      </c>
      <c r="Q10" s="316">
        <f t="shared" si="2"/>
        <v>3.1900843993724992</v>
      </c>
      <c r="R10" s="316">
        <f t="shared" si="3"/>
        <v>3.2526350738699992</v>
      </c>
      <c r="S10" s="316">
        <f t="shared" si="4"/>
        <v>0.50040539598</v>
      </c>
      <c r="T10" s="383">
        <f t="shared" si="6"/>
        <v>2.0399676499999999</v>
      </c>
      <c r="U10" s="383">
        <f t="shared" si="7"/>
        <v>5.1524995956250006</v>
      </c>
      <c r="V10" s="383">
        <f t="shared" si="8"/>
        <v>2.0999156006275008</v>
      </c>
      <c r="W10" s="383">
        <f t="shared" si="9"/>
        <v>-2.4426350738699991</v>
      </c>
      <c r="X10" s="318"/>
      <c r="Y10" s="395">
        <f>T10*Y4</f>
        <v>1998.9439005585</v>
      </c>
      <c r="Z10" s="395">
        <f>U10*Z4</f>
        <v>3087.1201327187191</v>
      </c>
      <c r="AA10" s="395">
        <f>V10*AA4</f>
        <v>1700.8476398842506</v>
      </c>
      <c r="AB10" s="395">
        <f>W10*AB4</f>
        <v>-2862.9637173815486</v>
      </c>
      <c r="AC10" s="396">
        <f t="shared" si="10"/>
        <v>1925.0040552214209</v>
      </c>
    </row>
    <row r="11" spans="1:29" s="13" customFormat="1" ht="15.75" thickBot="1">
      <c r="A11" s="337"/>
      <c r="B11" s="337"/>
      <c r="C11" s="337"/>
      <c r="D11" s="337"/>
      <c r="E11" s="357">
        <f>SUM(E5:E10)</f>
        <v>22.259999999999998</v>
      </c>
      <c r="F11" s="337"/>
      <c r="G11" s="337"/>
      <c r="H11" s="337"/>
      <c r="I11" s="359"/>
      <c r="J11" s="337"/>
      <c r="K11" s="337"/>
      <c r="L11" s="337"/>
      <c r="M11" s="337"/>
      <c r="N11" s="368">
        <f>SUM(N5:N10)</f>
        <v>14984000.18</v>
      </c>
      <c r="O11" s="384">
        <f>SUM(O5:O10)</f>
        <v>14.984000179999997</v>
      </c>
      <c r="P11" s="370"/>
      <c r="Q11" s="337"/>
      <c r="R11" s="337"/>
      <c r="S11" s="337"/>
      <c r="T11" s="377"/>
      <c r="U11" s="337"/>
      <c r="V11" s="337"/>
      <c r="W11" s="337"/>
      <c r="X11" s="357"/>
      <c r="Y11" s="357"/>
      <c r="Z11" s="357"/>
      <c r="AA11" s="357"/>
      <c r="AB11" s="357"/>
      <c r="AC11" s="346">
        <f>SUM(AC5:AC10)</f>
        <v>4726.1685912443099</v>
      </c>
    </row>
    <row r="12" spans="1:29" s="380" customFormat="1" ht="15.75" thickBot="1">
      <c r="A12" s="377"/>
      <c r="B12" s="377"/>
      <c r="C12" s="377"/>
      <c r="D12" s="377"/>
      <c r="E12" s="357"/>
      <c r="F12" s="377"/>
      <c r="G12" s="377"/>
      <c r="H12" s="377"/>
      <c r="J12" s="377"/>
      <c r="K12" s="377"/>
      <c r="L12" s="377"/>
      <c r="M12" s="377"/>
      <c r="N12" s="368"/>
      <c r="O12" s="384"/>
      <c r="P12" s="377"/>
      <c r="Q12" s="377"/>
      <c r="R12" s="377"/>
      <c r="S12" s="377"/>
      <c r="T12" s="377"/>
      <c r="U12" s="377"/>
      <c r="V12" s="377"/>
      <c r="W12" s="377"/>
      <c r="X12" s="357"/>
      <c r="Y12" s="357"/>
      <c r="Z12" s="357"/>
      <c r="AA12" s="357"/>
      <c r="AB12" s="357"/>
      <c r="AC12" s="357"/>
    </row>
    <row r="13" spans="1:29">
      <c r="X13" s="400" t="s">
        <v>287</v>
      </c>
      <c r="Y13" s="401"/>
      <c r="Z13" s="401"/>
      <c r="AA13" s="401"/>
      <c r="AB13" s="401"/>
      <c r="AC13" s="402"/>
    </row>
    <row r="14" spans="1:29">
      <c r="A14" s="403" t="s">
        <v>175</v>
      </c>
      <c r="B14" s="403"/>
      <c r="C14" s="403"/>
      <c r="D14" s="403"/>
      <c r="E14" s="403"/>
      <c r="F14" s="403"/>
      <c r="G14" s="403"/>
      <c r="H14" s="403"/>
      <c r="I14" s="313"/>
      <c r="J14" s="406" t="s">
        <v>134</v>
      </c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352"/>
      <c r="Y14" s="392" t="s">
        <v>285</v>
      </c>
      <c r="Z14" s="365" t="s">
        <v>241</v>
      </c>
      <c r="AA14" s="365" t="s">
        <v>242</v>
      </c>
      <c r="AB14" s="365" t="s">
        <v>243</v>
      </c>
      <c r="AC14" s="348"/>
    </row>
    <row r="15" spans="1:29" s="13" customFormat="1" ht="30.75" thickBot="1">
      <c r="A15" s="356" t="s">
        <v>105</v>
      </c>
      <c r="B15" s="356" t="s">
        <v>75</v>
      </c>
      <c r="C15" s="356" t="s">
        <v>106</v>
      </c>
      <c r="D15" s="356" t="s">
        <v>107</v>
      </c>
      <c r="E15" s="378" t="s">
        <v>116</v>
      </c>
      <c r="F15" s="356" t="s">
        <v>117</v>
      </c>
      <c r="G15" s="356" t="s">
        <v>118</v>
      </c>
      <c r="H15" s="356" t="s">
        <v>119</v>
      </c>
      <c r="I15" s="311"/>
      <c r="J15" s="356" t="s">
        <v>105</v>
      </c>
      <c r="K15" s="356" t="s">
        <v>75</v>
      </c>
      <c r="L15" s="356" t="s">
        <v>106</v>
      </c>
      <c r="M15" s="356" t="s">
        <v>107</v>
      </c>
      <c r="N15" s="378" t="s">
        <v>282</v>
      </c>
      <c r="O15" s="378" t="s">
        <v>284</v>
      </c>
      <c r="P15" s="371" t="s">
        <v>120</v>
      </c>
      <c r="Q15" s="356" t="s">
        <v>117</v>
      </c>
      <c r="R15" s="356" t="s">
        <v>118</v>
      </c>
      <c r="S15" s="356" t="s">
        <v>119</v>
      </c>
      <c r="T15" s="378" t="s">
        <v>283</v>
      </c>
      <c r="U15" s="356" t="s">
        <v>135</v>
      </c>
      <c r="V15" s="356" t="s">
        <v>136</v>
      </c>
      <c r="W15" s="356" t="s">
        <v>137</v>
      </c>
      <c r="X15" s="344" t="s">
        <v>240</v>
      </c>
      <c r="Y15" s="336">
        <v>885.85</v>
      </c>
      <c r="Z15" s="336">
        <v>610.9</v>
      </c>
      <c r="AA15" s="336">
        <v>801.55</v>
      </c>
      <c r="AB15" s="336">
        <v>1104.47</v>
      </c>
      <c r="AC15" s="329" t="s">
        <v>280</v>
      </c>
    </row>
    <row r="16" spans="1:29" s="13" customFormat="1">
      <c r="A16" s="308">
        <v>43924</v>
      </c>
      <c r="B16" s="358">
        <v>4</v>
      </c>
      <c r="C16" s="356" t="s">
        <v>176</v>
      </c>
      <c r="D16" s="367" t="s">
        <v>177</v>
      </c>
      <c r="E16" s="378">
        <v>0.02</v>
      </c>
      <c r="F16" s="356">
        <v>0.01</v>
      </c>
      <c r="G16" s="356">
        <v>0.01</v>
      </c>
      <c r="H16" s="356">
        <v>0</v>
      </c>
      <c r="I16" s="359"/>
      <c r="J16" s="308">
        <v>43924</v>
      </c>
      <c r="K16" s="358">
        <v>4</v>
      </c>
      <c r="L16" s="356" t="s">
        <v>176</v>
      </c>
      <c r="M16" s="367" t="s">
        <v>177</v>
      </c>
      <c r="N16" s="373">
        <v>32903.225806451606</v>
      </c>
      <c r="O16" s="369">
        <f t="shared" ref="O16:O21" si="11">N16*0.000001</f>
        <v>3.2903225806451608E-2</v>
      </c>
      <c r="P16" s="321">
        <f t="shared" ref="P16:P21" si="12">(N16/K16)*0.000001</f>
        <v>8.225806451612902E-3</v>
      </c>
      <c r="Q16" s="316">
        <f t="shared" ref="Q16:Q21" si="13">((P16*8.34*255)*K16)/2000</f>
        <v>3.4987645161290319E-2</v>
      </c>
      <c r="R16" s="316">
        <f t="shared" ref="R16:R21" si="14">((P16*8.34*260)*K16)/2000</f>
        <v>3.5673677419354829E-2</v>
      </c>
      <c r="S16" s="316">
        <f t="shared" ref="S16:S21" si="15">((P16*8.34*40)*K16)/2000</f>
        <v>5.4882580645161287E-3</v>
      </c>
      <c r="T16" s="383">
        <f t="shared" ref="T16:T21" si="16">E16-O16</f>
        <v>-1.2903225806451608E-2</v>
      </c>
      <c r="U16" s="383">
        <f t="shared" ref="U16:U21" si="17">F16-P16</f>
        <v>1.7741935483870982E-3</v>
      </c>
      <c r="V16" s="383">
        <f t="shared" ref="V16:V21" si="18">G16-Q16</f>
        <v>-2.4987645161290317E-2</v>
      </c>
      <c r="W16" s="383">
        <f t="shared" ref="W16:W21" si="19">H16-R16</f>
        <v>-3.5673677419354829E-2</v>
      </c>
      <c r="X16" s="366"/>
      <c r="Y16" s="347">
        <f>T16*Y15</f>
        <v>-11.430322580645157</v>
      </c>
      <c r="Z16" s="347">
        <f>U16*Z15</f>
        <v>1.0838548387096782</v>
      </c>
      <c r="AA16" s="347">
        <f>V16*AA15</f>
        <v>-20.028846979032252</v>
      </c>
      <c r="AB16" s="347">
        <f>W16*AB15</f>
        <v>-39.400506499354826</v>
      </c>
      <c r="AC16" s="393">
        <f>SUM(Z16:AB16)</f>
        <v>-58.345498639677402</v>
      </c>
    </row>
    <row r="17" spans="1:29" s="13" customFormat="1">
      <c r="A17" s="308">
        <v>44029</v>
      </c>
      <c r="B17" s="356">
        <v>120</v>
      </c>
      <c r="C17" s="356" t="s">
        <v>178</v>
      </c>
      <c r="D17" s="356" t="s">
        <v>179</v>
      </c>
      <c r="E17" s="378">
        <v>4.4400000000000004</v>
      </c>
      <c r="F17" s="356">
        <v>4.46</v>
      </c>
      <c r="G17" s="356">
        <v>4.55</v>
      </c>
      <c r="H17" s="356">
        <v>0.7</v>
      </c>
      <c r="I17" s="359"/>
      <c r="J17" s="308">
        <v>44029</v>
      </c>
      <c r="K17" s="356">
        <v>120</v>
      </c>
      <c r="L17" s="356" t="s">
        <v>178</v>
      </c>
      <c r="M17" s="356" t="s">
        <v>179</v>
      </c>
      <c r="N17" s="373">
        <v>2525322.58</v>
      </c>
      <c r="O17" s="369">
        <f t="shared" si="11"/>
        <v>2.5253225800000001</v>
      </c>
      <c r="P17" s="321">
        <f t="shared" si="12"/>
        <v>2.1044354833333334E-2</v>
      </c>
      <c r="Q17" s="316">
        <f t="shared" si="13"/>
        <v>2.685301765443</v>
      </c>
      <c r="R17" s="316">
        <f t="shared" si="14"/>
        <v>2.7379547412360004</v>
      </c>
      <c r="S17" s="316">
        <f t="shared" si="15"/>
        <v>0.42122380634400003</v>
      </c>
      <c r="T17" s="383">
        <f t="shared" si="16"/>
        <v>1.9146774200000003</v>
      </c>
      <c r="U17" s="383">
        <f t="shared" si="17"/>
        <v>4.4389556451666667</v>
      </c>
      <c r="V17" s="383">
        <f t="shared" si="18"/>
        <v>1.8646982345569998</v>
      </c>
      <c r="W17" s="383">
        <f t="shared" si="19"/>
        <v>-2.0379547412360006</v>
      </c>
      <c r="X17" s="363"/>
      <c r="Y17" s="347">
        <f>T17*Y15</f>
        <v>1696.1169925070003</v>
      </c>
      <c r="Z17" s="347">
        <f>U17*Z15</f>
        <v>2711.7580036323166</v>
      </c>
      <c r="AA17" s="347">
        <f>V17*AA15</f>
        <v>1494.6488699091631</v>
      </c>
      <c r="AB17" s="347">
        <f>W17*AB15</f>
        <v>-2250.8598730529256</v>
      </c>
      <c r="AC17" s="394">
        <f>SUM(Z17:AB17)</f>
        <v>1955.5470004885537</v>
      </c>
    </row>
    <row r="18" spans="1:29">
      <c r="A18" s="308">
        <v>44078</v>
      </c>
      <c r="B18" s="358">
        <v>84</v>
      </c>
      <c r="C18" s="356" t="s">
        <v>180</v>
      </c>
      <c r="D18" s="356" t="s">
        <v>181</v>
      </c>
      <c r="E18" s="378">
        <v>0.59</v>
      </c>
      <c r="F18" s="356">
        <v>0.45</v>
      </c>
      <c r="G18" s="356">
        <v>0.46</v>
      </c>
      <c r="H18" s="356">
        <v>7.0000000000000007E-2</v>
      </c>
      <c r="J18" s="308">
        <v>44078</v>
      </c>
      <c r="K18" s="358">
        <v>84</v>
      </c>
      <c r="L18" s="356" t="s">
        <v>180</v>
      </c>
      <c r="M18" s="356" t="s">
        <v>181</v>
      </c>
      <c r="N18" s="373">
        <v>1883387.09</v>
      </c>
      <c r="O18" s="369">
        <f t="shared" si="11"/>
        <v>1.88338709</v>
      </c>
      <c r="P18" s="321">
        <f t="shared" si="12"/>
        <v>2.2421274880952382E-2</v>
      </c>
      <c r="Q18" s="316">
        <f t="shared" si="13"/>
        <v>2.0026996621515001</v>
      </c>
      <c r="R18" s="316">
        <f t="shared" si="14"/>
        <v>2.0419682829779999</v>
      </c>
      <c r="S18" s="316">
        <f t="shared" si="15"/>
        <v>0.31414896661200004</v>
      </c>
      <c r="T18" s="383">
        <f t="shared" si="16"/>
        <v>-1.29338709</v>
      </c>
      <c r="U18" s="383">
        <f t="shared" si="17"/>
        <v>0.42757872511904765</v>
      </c>
      <c r="V18" s="383">
        <f t="shared" si="18"/>
        <v>-1.5426996621515001</v>
      </c>
      <c r="W18" s="383">
        <f t="shared" si="19"/>
        <v>-1.9719682829779999</v>
      </c>
      <c r="X18" s="363"/>
      <c r="Y18" s="347">
        <f>T18*Y15</f>
        <v>-1145.7469536765</v>
      </c>
      <c r="Z18" s="347">
        <f>U18*Z15</f>
        <v>261.20784317522617</v>
      </c>
      <c r="AA18" s="347">
        <f>V18*AA15</f>
        <v>-1236.5509141975349</v>
      </c>
      <c r="AB18" s="347">
        <f>W18*AB15</f>
        <v>-2177.9798095007118</v>
      </c>
      <c r="AC18" s="394">
        <f t="shared" ref="AC18:AC21" si="20">SUM(Z18:AB18)</f>
        <v>-3153.3228805230206</v>
      </c>
    </row>
    <row r="19" spans="1:29">
      <c r="A19" s="308">
        <v>44148</v>
      </c>
      <c r="B19" s="358">
        <v>52</v>
      </c>
      <c r="C19" s="356" t="s">
        <v>182</v>
      </c>
      <c r="D19" s="356" t="s">
        <v>183</v>
      </c>
      <c r="E19" s="378">
        <v>0.79</v>
      </c>
      <c r="F19" s="356">
        <v>0.72</v>
      </c>
      <c r="G19" s="356">
        <v>0.74</v>
      </c>
      <c r="H19" s="356">
        <v>0.11</v>
      </c>
      <c r="J19" s="308">
        <v>44148</v>
      </c>
      <c r="K19" s="358">
        <v>52</v>
      </c>
      <c r="L19" s="356" t="s">
        <v>182</v>
      </c>
      <c r="M19" s="356" t="s">
        <v>183</v>
      </c>
      <c r="N19" s="373">
        <v>4461453.7699999996</v>
      </c>
      <c r="O19" s="369">
        <f t="shared" si="11"/>
        <v>4.4614537699999994</v>
      </c>
      <c r="P19" s="321">
        <f t="shared" si="12"/>
        <v>8.5797187884615364E-2</v>
      </c>
      <c r="Q19" s="316">
        <f t="shared" si="13"/>
        <v>4.7440868663294991</v>
      </c>
      <c r="R19" s="316">
        <f t="shared" si="14"/>
        <v>4.8371081774339979</v>
      </c>
      <c r="S19" s="316">
        <f t="shared" si="15"/>
        <v>0.74417048883599979</v>
      </c>
      <c r="T19" s="383">
        <f t="shared" si="16"/>
        <v>-3.6714537699999994</v>
      </c>
      <c r="U19" s="383">
        <f t="shared" si="17"/>
        <v>0.63420281211538465</v>
      </c>
      <c r="V19" s="383">
        <f t="shared" si="18"/>
        <v>-4.0040868663294988</v>
      </c>
      <c r="W19" s="383">
        <f t="shared" si="19"/>
        <v>-4.7271081774339976</v>
      </c>
      <c r="X19" s="363"/>
      <c r="Y19" s="347">
        <f>T19*Y15</f>
        <v>-3252.3573221544993</v>
      </c>
      <c r="Z19" s="347">
        <f>U19*Z15</f>
        <v>387.43449792128848</v>
      </c>
      <c r="AA19" s="347">
        <f>V19*AA15</f>
        <v>-3209.4758277064097</v>
      </c>
      <c r="AB19" s="347">
        <f>W19*AB15</f>
        <v>-5220.9491687305272</v>
      </c>
      <c r="AC19" s="394">
        <f t="shared" si="20"/>
        <v>-8042.9904985156481</v>
      </c>
    </row>
    <row r="20" spans="1:29">
      <c r="A20" s="308">
        <v>44225</v>
      </c>
      <c r="B20" s="358">
        <v>77</v>
      </c>
      <c r="C20" s="356" t="s">
        <v>184</v>
      </c>
      <c r="D20" s="356" t="s">
        <v>185</v>
      </c>
      <c r="E20" s="378">
        <v>0.72</v>
      </c>
      <c r="F20" s="356">
        <v>0.59</v>
      </c>
      <c r="G20" s="356">
        <v>0.6</v>
      </c>
      <c r="H20" s="356">
        <v>0.09</v>
      </c>
      <c r="J20" s="308">
        <v>44225</v>
      </c>
      <c r="K20" s="358">
        <v>77</v>
      </c>
      <c r="L20" s="356" t="s">
        <v>184</v>
      </c>
      <c r="M20" s="356" t="s">
        <v>185</v>
      </c>
      <c r="N20" s="373">
        <v>3982546.28</v>
      </c>
      <c r="O20" s="369">
        <f t="shared" si="11"/>
        <v>3.9825462799999998</v>
      </c>
      <c r="P20" s="321">
        <f t="shared" si="12"/>
        <v>5.1721380259740254E-2</v>
      </c>
      <c r="Q20" s="316">
        <f t="shared" si="13"/>
        <v>4.2348405868379997</v>
      </c>
      <c r="R20" s="316">
        <f t="shared" si="14"/>
        <v>4.3178766767759988</v>
      </c>
      <c r="S20" s="316">
        <f t="shared" si="15"/>
        <v>0.66428871950399981</v>
      </c>
      <c r="T20" s="383">
        <f t="shared" si="16"/>
        <v>-3.2625462799999996</v>
      </c>
      <c r="U20" s="383">
        <f t="shared" si="17"/>
        <v>0.5382786197402597</v>
      </c>
      <c r="V20" s="383">
        <f t="shared" si="18"/>
        <v>-3.6348405868379996</v>
      </c>
      <c r="W20" s="383">
        <f t="shared" si="19"/>
        <v>-4.227876676775999</v>
      </c>
      <c r="X20" s="363"/>
      <c r="Y20" s="347">
        <f>T20*Y15</f>
        <v>-2890.1266221379997</v>
      </c>
      <c r="Z20" s="347">
        <f>U20*Z15</f>
        <v>328.83440879932465</v>
      </c>
      <c r="AA20" s="347">
        <f>V20*AA15</f>
        <v>-2913.5064723799983</v>
      </c>
      <c r="AB20" s="347">
        <f>W20*AB15</f>
        <v>-4669.5629531987879</v>
      </c>
      <c r="AC20" s="394">
        <f t="shared" si="20"/>
        <v>-7254.2350167794611</v>
      </c>
    </row>
    <row r="21" spans="1:29" ht="15.75" thickBot="1">
      <c r="A21" s="308">
        <v>44260</v>
      </c>
      <c r="B21" s="358">
        <v>29</v>
      </c>
      <c r="C21" s="356" t="s">
        <v>163</v>
      </c>
      <c r="D21" s="356" t="s">
        <v>186</v>
      </c>
      <c r="E21" s="378">
        <v>0.23</v>
      </c>
      <c r="F21" s="356">
        <v>0.18</v>
      </c>
      <c r="G21" s="356">
        <v>0.19</v>
      </c>
      <c r="H21" s="356">
        <v>0.03</v>
      </c>
      <c r="J21" s="308">
        <v>44260</v>
      </c>
      <c r="K21" s="358">
        <v>29</v>
      </c>
      <c r="L21" s="356" t="s">
        <v>163</v>
      </c>
      <c r="M21" s="356" t="s">
        <v>186</v>
      </c>
      <c r="N21" s="381">
        <v>574387.1</v>
      </c>
      <c r="O21" s="369">
        <f t="shared" si="11"/>
        <v>0.57438709999999993</v>
      </c>
      <c r="P21" s="321">
        <f t="shared" si="12"/>
        <v>1.9806451724137929E-2</v>
      </c>
      <c r="Q21" s="316">
        <f t="shared" si="13"/>
        <v>0.61077452278499988</v>
      </c>
      <c r="R21" s="316">
        <f t="shared" si="14"/>
        <v>0.62275049382000003</v>
      </c>
      <c r="S21" s="316">
        <f t="shared" si="15"/>
        <v>9.5807768279999997E-2</v>
      </c>
      <c r="T21" s="383">
        <f t="shared" si="16"/>
        <v>-0.34438709999999995</v>
      </c>
      <c r="U21" s="383">
        <f t="shared" si="17"/>
        <v>0.16019354827586207</v>
      </c>
      <c r="V21" s="383">
        <f t="shared" si="18"/>
        <v>-0.42077452278499988</v>
      </c>
      <c r="W21" s="383">
        <f t="shared" si="19"/>
        <v>-0.59275049382</v>
      </c>
      <c r="X21" s="318"/>
      <c r="Y21" s="395">
        <f>T21*Y15</f>
        <v>-305.07531253499997</v>
      </c>
      <c r="Z21" s="395">
        <f>U21*Z15</f>
        <v>97.862238641724133</v>
      </c>
      <c r="AA21" s="395">
        <f>V21*AA15</f>
        <v>-337.27181873831665</v>
      </c>
      <c r="AB21" s="395">
        <f>W21*AB15</f>
        <v>-654.67513790937539</v>
      </c>
      <c r="AC21" s="396">
        <f t="shared" si="20"/>
        <v>-894.08471800596794</v>
      </c>
    </row>
    <row r="22" spans="1:29" ht="15.75" thickBot="1">
      <c r="E22" s="357">
        <f>SUM(E16:E21)</f>
        <v>6.79</v>
      </c>
      <c r="N22" s="382">
        <f>SUM(N16:N21)</f>
        <v>13460000.045806449</v>
      </c>
      <c r="O22" s="385">
        <f>SUM(O16:O21)</f>
        <v>13.460000045806449</v>
      </c>
      <c r="AC22" s="346">
        <f>SUM(AC16:AC21)</f>
        <v>-17447.431611975222</v>
      </c>
    </row>
    <row r="23" spans="1:29" s="377" customFormat="1" ht="15.75" thickBot="1">
      <c r="E23" s="357"/>
      <c r="I23" s="380"/>
      <c r="O23" s="357"/>
      <c r="X23" s="357"/>
      <c r="Y23" s="357"/>
      <c r="Z23" s="357"/>
      <c r="AA23" s="357"/>
      <c r="AB23" s="357"/>
      <c r="AC23" s="357"/>
    </row>
    <row r="24" spans="1:29">
      <c r="X24" s="400" t="s">
        <v>288</v>
      </c>
      <c r="Y24" s="401"/>
      <c r="Z24" s="401"/>
      <c r="AA24" s="401"/>
      <c r="AB24" s="401"/>
      <c r="AC24" s="402"/>
    </row>
    <row r="25" spans="1:29" s="13" customFormat="1">
      <c r="A25" s="403" t="s">
        <v>162</v>
      </c>
      <c r="B25" s="403"/>
      <c r="C25" s="403"/>
      <c r="D25" s="403"/>
      <c r="E25" s="403"/>
      <c r="F25" s="403"/>
      <c r="G25" s="403"/>
      <c r="H25" s="403"/>
      <c r="I25" s="313"/>
      <c r="J25" s="406" t="s">
        <v>134</v>
      </c>
      <c r="K25" s="406"/>
      <c r="L25" s="406"/>
      <c r="M25" s="406"/>
      <c r="N25" s="406"/>
      <c r="O25" s="406"/>
      <c r="P25" s="406"/>
      <c r="Q25" s="406"/>
      <c r="R25" s="406"/>
      <c r="S25" s="406"/>
      <c r="T25" s="406"/>
      <c r="U25" s="406"/>
      <c r="V25" s="406"/>
      <c r="W25" s="406"/>
      <c r="X25" s="352"/>
      <c r="Y25" s="392" t="s">
        <v>285</v>
      </c>
      <c r="Z25" s="365" t="s">
        <v>241</v>
      </c>
      <c r="AA25" s="365" t="s">
        <v>242</v>
      </c>
      <c r="AB25" s="365" t="s">
        <v>243</v>
      </c>
      <c r="AC25" s="348"/>
    </row>
    <row r="26" spans="1:29" s="13" customFormat="1" ht="30.75" thickBot="1">
      <c r="A26" s="356" t="s">
        <v>105</v>
      </c>
      <c r="B26" s="356" t="s">
        <v>75</v>
      </c>
      <c r="C26" s="356" t="s">
        <v>106</v>
      </c>
      <c r="D26" s="356" t="s">
        <v>107</v>
      </c>
      <c r="E26" s="378" t="s">
        <v>116</v>
      </c>
      <c r="F26" s="356" t="s">
        <v>117</v>
      </c>
      <c r="G26" s="356" t="s">
        <v>118</v>
      </c>
      <c r="H26" s="356" t="s">
        <v>119</v>
      </c>
      <c r="I26" s="311"/>
      <c r="J26" s="356" t="s">
        <v>105</v>
      </c>
      <c r="K26" s="356" t="s">
        <v>75</v>
      </c>
      <c r="L26" s="356" t="s">
        <v>106</v>
      </c>
      <c r="M26" s="356" t="s">
        <v>107</v>
      </c>
      <c r="N26" s="378" t="s">
        <v>282</v>
      </c>
      <c r="O26" s="378" t="s">
        <v>284</v>
      </c>
      <c r="P26" s="371" t="s">
        <v>120</v>
      </c>
      <c r="Q26" s="356" t="s">
        <v>117</v>
      </c>
      <c r="R26" s="356" t="s">
        <v>118</v>
      </c>
      <c r="S26" s="356" t="s">
        <v>119</v>
      </c>
      <c r="T26" s="378" t="s">
        <v>283</v>
      </c>
      <c r="U26" s="356" t="s">
        <v>135</v>
      </c>
      <c r="V26" s="356" t="s">
        <v>136</v>
      </c>
      <c r="W26" s="356" t="s">
        <v>137</v>
      </c>
      <c r="X26" s="344" t="s">
        <v>240</v>
      </c>
      <c r="Y26" s="336">
        <v>864.01</v>
      </c>
      <c r="Z26" s="336">
        <v>605.27</v>
      </c>
      <c r="AA26" s="336">
        <v>893.23</v>
      </c>
      <c r="AB26" s="336">
        <v>1106.8900000000001</v>
      </c>
      <c r="AC26" s="329" t="s">
        <v>280</v>
      </c>
    </row>
    <row r="27" spans="1:29">
      <c r="A27" s="308">
        <v>44302</v>
      </c>
      <c r="B27" s="358">
        <v>48</v>
      </c>
      <c r="C27" s="367" t="s">
        <v>163</v>
      </c>
      <c r="D27" s="367" t="s">
        <v>164</v>
      </c>
      <c r="E27" s="378">
        <v>0.25</v>
      </c>
      <c r="F27" s="356">
        <v>0.16</v>
      </c>
      <c r="G27" s="356">
        <v>0.16</v>
      </c>
      <c r="H27" s="356">
        <v>0.02</v>
      </c>
      <c r="J27" s="308">
        <v>44302</v>
      </c>
      <c r="K27" s="358">
        <v>48</v>
      </c>
      <c r="L27" s="367" t="s">
        <v>163</v>
      </c>
      <c r="M27" s="367" t="s">
        <v>164</v>
      </c>
      <c r="N27" s="374">
        <v>725178.57142857148</v>
      </c>
      <c r="O27" s="369">
        <f t="shared" ref="O27:O33" si="21">N27*0.000001</f>
        <v>0.72517857142857145</v>
      </c>
      <c r="P27" s="321">
        <f t="shared" ref="P27:P33" si="22">(N27/K27)*0.000001</f>
        <v>1.5107886904761905E-2</v>
      </c>
      <c r="Q27" s="316">
        <f t="shared" ref="Q27:Q33" si="23">((P27*8.34*255)*K27)/2000</f>
        <v>0.77111863392857138</v>
      </c>
      <c r="R27" s="316">
        <f t="shared" ref="R27:R33" si="24">((P27*8.34*260)*K27)/2000</f>
        <v>0.7862386071428572</v>
      </c>
      <c r="S27" s="316">
        <f t="shared" ref="S27:S33" si="25">((P27*8.34*40)*K27)/2000</f>
        <v>0.12095978571428571</v>
      </c>
      <c r="T27" s="383">
        <f t="shared" ref="T27:T33" si="26">E27-O27</f>
        <v>-0.47517857142857145</v>
      </c>
      <c r="U27" s="383">
        <f t="shared" ref="U27:U33" si="27">F27-P27</f>
        <v>0.14489211309523808</v>
      </c>
      <c r="V27" s="383">
        <f t="shared" ref="V27:V33" si="28">G27-Q27</f>
        <v>-0.61111863392857135</v>
      </c>
      <c r="W27" s="383">
        <f t="shared" ref="W27:W33" si="29">H27-R27</f>
        <v>-0.76623860714285719</v>
      </c>
      <c r="X27" s="366"/>
      <c r="Y27" s="347">
        <f>T27*Y26</f>
        <v>-410.55903749999999</v>
      </c>
      <c r="Z27" s="347">
        <f>U27*Z26</f>
        <v>87.698849293154751</v>
      </c>
      <c r="AA27" s="347">
        <f>V27*AA26</f>
        <v>-545.86949738401779</v>
      </c>
      <c r="AB27" s="347">
        <f>W27*AB26</f>
        <v>-848.14185186035729</v>
      </c>
      <c r="AC27" s="393">
        <f>SUM(Z27:AB27)</f>
        <v>-1306.3124999512204</v>
      </c>
    </row>
    <row r="28" spans="1:29">
      <c r="A28" s="308">
        <v>44365</v>
      </c>
      <c r="B28" s="358">
        <v>67</v>
      </c>
      <c r="C28" s="356" t="s">
        <v>165</v>
      </c>
      <c r="D28" s="356" t="s">
        <v>166</v>
      </c>
      <c r="E28" s="378">
        <v>2.72</v>
      </c>
      <c r="F28" s="356">
        <v>2.75</v>
      </c>
      <c r="G28" s="356">
        <v>2.8</v>
      </c>
      <c r="H28" s="356">
        <v>0.43</v>
      </c>
      <c r="J28" s="308">
        <v>44365</v>
      </c>
      <c r="K28" s="358">
        <v>67</v>
      </c>
      <c r="L28" s="356" t="s">
        <v>165</v>
      </c>
      <c r="M28" s="356" t="s">
        <v>166</v>
      </c>
      <c r="N28" s="374">
        <v>1319988.1299999999</v>
      </c>
      <c r="O28" s="369">
        <f t="shared" si="21"/>
        <v>1.3199881299999998</v>
      </c>
      <c r="P28" s="321">
        <f t="shared" si="22"/>
        <v>1.9701315373134326E-2</v>
      </c>
      <c r="Q28" s="316">
        <f t="shared" si="23"/>
        <v>1.4036093780354997</v>
      </c>
      <c r="R28" s="316">
        <f t="shared" si="24"/>
        <v>1.4311311305459999</v>
      </c>
      <c r="S28" s="316">
        <f t="shared" si="25"/>
        <v>0.22017402008399994</v>
      </c>
      <c r="T28" s="383">
        <f t="shared" si="26"/>
        <v>1.4000118700000004</v>
      </c>
      <c r="U28" s="383">
        <f t="shared" si="27"/>
        <v>2.7302986846268658</v>
      </c>
      <c r="V28" s="383">
        <f t="shared" si="28"/>
        <v>1.3963906219645001</v>
      </c>
      <c r="W28" s="383">
        <f t="shared" si="29"/>
        <v>-1.001131130546</v>
      </c>
      <c r="X28" s="363"/>
      <c r="Y28" s="347">
        <f>T28*Y26</f>
        <v>1209.6242557987002</v>
      </c>
      <c r="Z28" s="347">
        <f>U28*Z26</f>
        <v>1652.567884844103</v>
      </c>
      <c r="AA28" s="347">
        <f>V28*AA26</f>
        <v>1247.2979952573505</v>
      </c>
      <c r="AB28" s="347">
        <f>W28*AB26</f>
        <v>-1108.1420370900621</v>
      </c>
      <c r="AC28" s="394">
        <f>SUM(Z28:AB28)</f>
        <v>1791.7238430113914</v>
      </c>
    </row>
    <row r="29" spans="1:29">
      <c r="A29" s="308">
        <v>44420</v>
      </c>
      <c r="B29" s="358">
        <v>59</v>
      </c>
      <c r="C29" s="356" t="s">
        <v>167</v>
      </c>
      <c r="D29" s="356" t="s">
        <v>168</v>
      </c>
      <c r="E29" s="378">
        <v>2.06</v>
      </c>
      <c r="F29" s="356">
        <v>2.0699999999999998</v>
      </c>
      <c r="G29" s="356">
        <v>2.11</v>
      </c>
      <c r="H29" s="356">
        <v>0.32</v>
      </c>
      <c r="J29" s="308">
        <v>44420</v>
      </c>
      <c r="K29" s="358">
        <v>59</v>
      </c>
      <c r="L29" s="356" t="s">
        <v>167</v>
      </c>
      <c r="M29" s="356" t="s">
        <v>168</v>
      </c>
      <c r="N29" s="374">
        <v>1970633.42</v>
      </c>
      <c r="O29" s="369">
        <f t="shared" si="21"/>
        <v>1.9706334199999997</v>
      </c>
      <c r="P29" s="321">
        <f t="shared" si="22"/>
        <v>3.3400566440677959E-2</v>
      </c>
      <c r="Q29" s="316">
        <f t="shared" si="23"/>
        <v>2.0954730471569998</v>
      </c>
      <c r="R29" s="316">
        <f t="shared" si="24"/>
        <v>2.1365607539639995</v>
      </c>
      <c r="S29" s="316">
        <f t="shared" si="25"/>
        <v>0.32870165445599991</v>
      </c>
      <c r="T29" s="383">
        <f t="shared" si="26"/>
        <v>8.9366580000000306E-2</v>
      </c>
      <c r="U29" s="383">
        <f t="shared" si="27"/>
        <v>2.036599433559322</v>
      </c>
      <c r="V29" s="383">
        <f t="shared" si="28"/>
        <v>1.4526952843000096E-2</v>
      </c>
      <c r="W29" s="383">
        <f t="shared" si="29"/>
        <v>-1.8165607539639994</v>
      </c>
      <c r="X29" s="363"/>
      <c r="Y29" s="347">
        <f>T29*Y26</f>
        <v>77.213618785800264</v>
      </c>
      <c r="Z29" s="347">
        <f>U29*Z26</f>
        <v>1232.6925391504508</v>
      </c>
      <c r="AA29" s="347">
        <f>V29*AA26</f>
        <v>12.975910087952975</v>
      </c>
      <c r="AB29" s="347">
        <f>W29*AB26</f>
        <v>-2010.7329329552115</v>
      </c>
      <c r="AC29" s="394">
        <f>SUM(Z29:AB29)</f>
        <v>-765.06448371680767</v>
      </c>
    </row>
    <row r="30" spans="1:29" s="13" customFormat="1">
      <c r="A30" s="308">
        <v>44481</v>
      </c>
      <c r="B30" s="358">
        <v>59</v>
      </c>
      <c r="C30" s="356" t="s">
        <v>169</v>
      </c>
      <c r="D30" s="356" t="s">
        <v>170</v>
      </c>
      <c r="E30" s="378">
        <v>2.06</v>
      </c>
      <c r="F30" s="356">
        <v>2.0699999999999998</v>
      </c>
      <c r="G30" s="356">
        <v>2.11</v>
      </c>
      <c r="H30" s="356">
        <v>0.32</v>
      </c>
      <c r="I30" s="359"/>
      <c r="J30" s="308">
        <v>44481</v>
      </c>
      <c r="K30" s="358">
        <v>59</v>
      </c>
      <c r="L30" s="356" t="s">
        <v>169</v>
      </c>
      <c r="M30" s="356" t="s">
        <v>170</v>
      </c>
      <c r="N30" s="374">
        <v>2342436.54</v>
      </c>
      <c r="O30" s="369">
        <f t="shared" si="21"/>
        <v>2.34243654</v>
      </c>
      <c r="P30" s="321">
        <f t="shared" si="22"/>
        <v>3.9702314237288129E-2</v>
      </c>
      <c r="Q30" s="316">
        <f t="shared" si="23"/>
        <v>2.4908298948089995</v>
      </c>
      <c r="R30" s="316">
        <f t="shared" si="24"/>
        <v>2.5396696966679997</v>
      </c>
      <c r="S30" s="316">
        <f t="shared" si="25"/>
        <v>0.39071841487199993</v>
      </c>
      <c r="T30" s="383">
        <f t="shared" si="26"/>
        <v>-0.28243653999999996</v>
      </c>
      <c r="U30" s="383">
        <f t="shared" si="27"/>
        <v>2.0302976857627115</v>
      </c>
      <c r="V30" s="383">
        <f t="shared" si="28"/>
        <v>-0.38082989480899965</v>
      </c>
      <c r="W30" s="383">
        <f t="shared" si="29"/>
        <v>-2.2196696966679998</v>
      </c>
      <c r="X30" s="363"/>
      <c r="Y30" s="347">
        <f>T29*Y26</f>
        <v>77.213618785800264</v>
      </c>
      <c r="Z30" s="347">
        <f>U29*Z26</f>
        <v>1232.6925391504508</v>
      </c>
      <c r="AA30" s="347">
        <f>V29*AA26</f>
        <v>12.975910087952975</v>
      </c>
      <c r="AB30" s="347">
        <f>W29*AB26</f>
        <v>-2010.7329329552115</v>
      </c>
      <c r="AC30" s="394">
        <f t="shared" ref="AC30:AC33" si="30">SUM(Z30:AB30)</f>
        <v>-765.06448371680767</v>
      </c>
    </row>
    <row r="31" spans="1:29" s="380" customFormat="1">
      <c r="A31" s="308">
        <v>44635</v>
      </c>
      <c r="B31" s="358">
        <v>97</v>
      </c>
      <c r="C31" s="378" t="s">
        <v>173</v>
      </c>
      <c r="D31" s="378" t="s">
        <v>174</v>
      </c>
      <c r="E31" s="378">
        <v>3.88</v>
      </c>
      <c r="F31" s="378">
        <v>4.12</v>
      </c>
      <c r="G31" s="378">
        <v>4.21</v>
      </c>
      <c r="H31" s="378">
        <v>0.65</v>
      </c>
      <c r="J31" s="308">
        <v>44635</v>
      </c>
      <c r="K31" s="358">
        <v>97</v>
      </c>
      <c r="L31" s="378" t="s">
        <v>173</v>
      </c>
      <c r="M31" s="378" t="s">
        <v>174</v>
      </c>
      <c r="N31" s="379">
        <v>6234096.7999999998</v>
      </c>
      <c r="O31" s="369">
        <f t="shared" si="21"/>
        <v>6.2340967999999997</v>
      </c>
      <c r="P31" s="321">
        <f t="shared" ref="P31" si="31">(N31/K31)*0.000001</f>
        <v>6.4269039175257725E-2</v>
      </c>
      <c r="Q31" s="316">
        <f t="shared" si="23"/>
        <v>6.6290268322799992</v>
      </c>
      <c r="R31" s="316">
        <f t="shared" si="24"/>
        <v>6.7590077505599995</v>
      </c>
      <c r="S31" s="316">
        <f t="shared" si="25"/>
        <v>1.03984734624</v>
      </c>
      <c r="T31" s="383">
        <f t="shared" ref="T31" si="32">E31-O31</f>
        <v>-2.3540967999999998</v>
      </c>
      <c r="U31" s="383">
        <f t="shared" ref="U31" si="33">F31-P31</f>
        <v>4.055730960824742</v>
      </c>
      <c r="V31" s="383">
        <f t="shared" ref="V31" si="34">G31-Q31</f>
        <v>-2.4190268322799993</v>
      </c>
      <c r="W31" s="383">
        <f t="shared" ref="W31" si="35">H31-R31</f>
        <v>-6.1090077505599991</v>
      </c>
      <c r="X31" s="363"/>
      <c r="Y31" s="347">
        <f>T30*Y26</f>
        <v>-244.02799492539995</v>
      </c>
      <c r="Z31" s="347">
        <f>U30*Z26</f>
        <v>1228.8782802615963</v>
      </c>
      <c r="AA31" s="347">
        <f>V30*AA26</f>
        <v>-340.16868694024276</v>
      </c>
      <c r="AB31" s="347">
        <f>W30*AB26</f>
        <v>-2456.9301905448424</v>
      </c>
      <c r="AC31" s="394">
        <f t="shared" si="30"/>
        <v>-1568.2205972234888</v>
      </c>
    </row>
    <row r="32" spans="1:29" s="380" customFormat="1">
      <c r="A32" s="386">
        <v>44614</v>
      </c>
      <c r="B32" s="387">
        <v>132</v>
      </c>
      <c r="C32" s="388" t="s">
        <v>171</v>
      </c>
      <c r="D32" s="388" t="s">
        <v>172</v>
      </c>
      <c r="E32" s="388">
        <v>5.55</v>
      </c>
      <c r="F32" s="388">
        <v>5.61</v>
      </c>
      <c r="G32" s="388">
        <v>5.72</v>
      </c>
      <c r="H32" s="388">
        <v>0.88</v>
      </c>
      <c r="J32" s="386">
        <v>44614</v>
      </c>
      <c r="K32" s="387">
        <v>132</v>
      </c>
      <c r="L32" s="388" t="s">
        <v>171</v>
      </c>
      <c r="M32" s="388" t="s">
        <v>172</v>
      </c>
      <c r="N32" s="350">
        <v>7889096.7999999998</v>
      </c>
      <c r="O32" s="389">
        <f t="shared" si="21"/>
        <v>7.889096799999999</v>
      </c>
      <c r="P32" s="390">
        <f t="shared" ref="P32" si="36">(N32/K32)*0.000001</f>
        <v>5.976588484848485E-2</v>
      </c>
      <c r="Q32" s="391">
        <f t="shared" si="23"/>
        <v>8.3888710822799997</v>
      </c>
      <c r="R32" s="391">
        <f t="shared" si="24"/>
        <v>8.5533587505600011</v>
      </c>
      <c r="S32" s="391">
        <f t="shared" si="25"/>
        <v>1.31590134624</v>
      </c>
      <c r="T32" s="383">
        <f t="shared" ref="T32" si="37">E32-O32</f>
        <v>-2.3390967999999992</v>
      </c>
      <c r="U32" s="383">
        <f t="shared" ref="U32" si="38">F32-P32</f>
        <v>5.5502341151515155</v>
      </c>
      <c r="V32" s="383">
        <f t="shared" ref="V32" si="39">G32-Q32</f>
        <v>-2.6688710822799999</v>
      </c>
      <c r="W32" s="383">
        <f t="shared" ref="W32" si="40">H32-R32</f>
        <v>-7.6733587505600012</v>
      </c>
      <c r="X32" s="363"/>
      <c r="Y32" s="347">
        <f>T31*Y26</f>
        <v>-2033.9631761679998</v>
      </c>
      <c r="Z32" s="347">
        <f>U31*Z26</f>
        <v>2454.8122786583917</v>
      </c>
      <c r="AA32" s="347">
        <f>V31*AA26</f>
        <v>-2160.747337397464</v>
      </c>
      <c r="AB32" s="347">
        <f>W31*AB26</f>
        <v>-6761.9995890173577</v>
      </c>
      <c r="AC32" s="394">
        <f t="shared" si="30"/>
        <v>-6467.9346477564304</v>
      </c>
    </row>
    <row r="33" spans="1:29" ht="15.75" thickBot="1">
      <c r="A33" s="386">
        <v>44635</v>
      </c>
      <c r="B33" s="387">
        <v>35</v>
      </c>
      <c r="C33" s="388" t="s">
        <v>150</v>
      </c>
      <c r="D33" s="388" t="s">
        <v>150</v>
      </c>
      <c r="E33" s="388">
        <v>1.4</v>
      </c>
      <c r="F33" s="388">
        <v>1.49</v>
      </c>
      <c r="G33" s="388">
        <v>1.52</v>
      </c>
      <c r="H33" s="388">
        <v>0.23</v>
      </c>
      <c r="J33" s="386">
        <v>44635</v>
      </c>
      <c r="K33" s="387">
        <v>35</v>
      </c>
      <c r="L33" s="388" t="s">
        <v>150</v>
      </c>
      <c r="M33" s="388" t="s">
        <v>150</v>
      </c>
      <c r="N33" s="350">
        <v>323000</v>
      </c>
      <c r="O33" s="389">
        <f t="shared" si="21"/>
        <v>0.32300000000000001</v>
      </c>
      <c r="P33" s="390">
        <f t="shared" si="22"/>
        <v>9.2285714285714297E-3</v>
      </c>
      <c r="Q33" s="391">
        <f t="shared" si="23"/>
        <v>0.34346205000000002</v>
      </c>
      <c r="R33" s="391">
        <f t="shared" si="24"/>
        <v>0.35019660000000002</v>
      </c>
      <c r="S33" s="391">
        <f t="shared" si="25"/>
        <v>5.3876400000000005E-2</v>
      </c>
      <c r="T33" s="383">
        <f t="shared" si="26"/>
        <v>1.077</v>
      </c>
      <c r="U33" s="383">
        <f t="shared" si="27"/>
        <v>1.4807714285714286</v>
      </c>
      <c r="V33" s="383">
        <f t="shared" si="28"/>
        <v>1.1765379499999999</v>
      </c>
      <c r="W33" s="383">
        <f t="shared" si="29"/>
        <v>-0.12019660000000001</v>
      </c>
      <c r="X33" s="318"/>
      <c r="Y33" s="395">
        <f>T32*Y26</f>
        <v>-2021.0030261679992</v>
      </c>
      <c r="Z33" s="395">
        <f>U32*Z26</f>
        <v>3359.3902028777579</v>
      </c>
      <c r="AA33" s="395">
        <f>V32*AA26</f>
        <v>-2383.9157168249644</v>
      </c>
      <c r="AB33" s="395">
        <f>W32*AB26</f>
        <v>-8493.5640674073602</v>
      </c>
      <c r="AC33" s="396">
        <f t="shared" si="30"/>
        <v>-7518.0895813545667</v>
      </c>
    </row>
    <row r="34" spans="1:29" ht="15.75" thickBot="1">
      <c r="E34" s="357">
        <f>SUM(E27:E33)</f>
        <v>17.919999999999998</v>
      </c>
      <c r="N34" s="338">
        <f>SUM(N27:N33)</f>
        <v>20804430.261428572</v>
      </c>
      <c r="O34" s="385">
        <f>SUM(O27:O33)</f>
        <v>20.804430261428571</v>
      </c>
      <c r="AC34" s="346">
        <f>SUM(AC27:AC33)</f>
        <v>-16598.962450707928</v>
      </c>
    </row>
    <row r="35" spans="1:29" s="377" customFormat="1" ht="15.75" thickBot="1">
      <c r="E35" s="357"/>
      <c r="I35" s="380"/>
      <c r="O35" s="357"/>
      <c r="X35" s="357"/>
      <c r="Y35" s="357"/>
      <c r="Z35" s="357"/>
      <c r="AA35" s="357"/>
      <c r="AB35" s="357"/>
      <c r="AC35" s="357"/>
    </row>
    <row r="36" spans="1:29">
      <c r="X36" s="400" t="s">
        <v>289</v>
      </c>
      <c r="Y36" s="401"/>
      <c r="Z36" s="401"/>
      <c r="AA36" s="401"/>
      <c r="AB36" s="401"/>
      <c r="AC36" s="402"/>
    </row>
    <row r="37" spans="1:29">
      <c r="A37" s="403" t="s">
        <v>161</v>
      </c>
      <c r="B37" s="403"/>
      <c r="C37" s="403"/>
      <c r="D37" s="403"/>
      <c r="E37" s="403"/>
      <c r="F37" s="403"/>
      <c r="G37" s="403"/>
      <c r="H37" s="403"/>
      <c r="I37" s="313"/>
      <c r="J37" s="406" t="s">
        <v>134</v>
      </c>
      <c r="K37" s="406"/>
      <c r="L37" s="406"/>
      <c r="M37" s="406"/>
      <c r="N37" s="406"/>
      <c r="O37" s="406"/>
      <c r="P37" s="406"/>
      <c r="Q37" s="406"/>
      <c r="R37" s="406"/>
      <c r="S37" s="406"/>
      <c r="T37" s="406"/>
      <c r="U37" s="406"/>
      <c r="V37" s="406"/>
      <c r="W37" s="406"/>
      <c r="X37" s="352"/>
      <c r="Y37" s="392" t="s">
        <v>285</v>
      </c>
      <c r="Z37" s="365" t="s">
        <v>241</v>
      </c>
      <c r="AA37" s="365" t="s">
        <v>242</v>
      </c>
      <c r="AB37" s="365" t="s">
        <v>243</v>
      </c>
      <c r="AC37" s="348"/>
    </row>
    <row r="38" spans="1:29" ht="30.75" thickBot="1">
      <c r="A38" s="356" t="s">
        <v>105</v>
      </c>
      <c r="B38" s="356" t="s">
        <v>75</v>
      </c>
      <c r="C38" s="356" t="s">
        <v>106</v>
      </c>
      <c r="D38" s="356" t="s">
        <v>107</v>
      </c>
      <c r="E38" s="378" t="s">
        <v>116</v>
      </c>
      <c r="F38" s="356" t="s">
        <v>117</v>
      </c>
      <c r="G38" s="356" t="s">
        <v>118</v>
      </c>
      <c r="H38" s="356" t="s">
        <v>119</v>
      </c>
      <c r="I38" s="311"/>
      <c r="J38" s="356" t="s">
        <v>105</v>
      </c>
      <c r="K38" s="356" t="s">
        <v>75</v>
      </c>
      <c r="L38" s="356" t="s">
        <v>106</v>
      </c>
      <c r="M38" s="356" t="s">
        <v>107</v>
      </c>
      <c r="N38" s="378" t="s">
        <v>282</v>
      </c>
      <c r="O38" s="378" t="s">
        <v>284</v>
      </c>
      <c r="P38" s="371" t="s">
        <v>120</v>
      </c>
      <c r="Q38" s="356" t="s">
        <v>117</v>
      </c>
      <c r="R38" s="356" t="s">
        <v>118</v>
      </c>
      <c r="S38" s="356" t="s">
        <v>119</v>
      </c>
      <c r="T38" s="378" t="s">
        <v>283</v>
      </c>
      <c r="U38" s="356" t="s">
        <v>135</v>
      </c>
      <c r="V38" s="356" t="s">
        <v>136</v>
      </c>
      <c r="W38" s="356" t="s">
        <v>137</v>
      </c>
      <c r="X38" s="344" t="s">
        <v>240</v>
      </c>
      <c r="Y38" s="336">
        <v>858.54</v>
      </c>
      <c r="Z38" s="336">
        <v>679.21</v>
      </c>
      <c r="AA38" s="336">
        <v>920.06</v>
      </c>
      <c r="AB38" s="336">
        <v>1148.73</v>
      </c>
      <c r="AC38" s="329" t="s">
        <v>280</v>
      </c>
    </row>
    <row r="39" spans="1:29" s="13" customFormat="1">
      <c r="A39" s="308">
        <v>44685</v>
      </c>
      <c r="B39" s="358">
        <v>68</v>
      </c>
      <c r="C39" s="356" t="s">
        <v>150</v>
      </c>
      <c r="D39" s="356" t="s">
        <v>151</v>
      </c>
      <c r="E39" s="378">
        <v>3.2</v>
      </c>
      <c r="F39" s="356">
        <v>3.25</v>
      </c>
      <c r="G39" s="356">
        <v>3.32</v>
      </c>
      <c r="H39" s="356">
        <v>0.51</v>
      </c>
      <c r="I39" s="359"/>
      <c r="J39" s="308">
        <v>44685</v>
      </c>
      <c r="K39" s="358">
        <v>68</v>
      </c>
      <c r="L39" s="356" t="s">
        <v>150</v>
      </c>
      <c r="M39" s="356" t="s">
        <v>151</v>
      </c>
      <c r="N39" s="375">
        <v>2322935.4838709678</v>
      </c>
      <c r="O39" s="369">
        <f t="shared" ref="O39:O44" si="41">N39*0.000001</f>
        <v>2.3229354838709675</v>
      </c>
      <c r="P39" s="321">
        <f t="shared" ref="P39:P44" si="42">(N39/K39)*0.000001</f>
        <v>3.4160815939278937E-2</v>
      </c>
      <c r="Q39" s="316">
        <f t="shared" ref="Q39:Q44" si="43">((P39*8.34*255)*K39)/2000</f>
        <v>2.4700934467741935</v>
      </c>
      <c r="R39" s="316">
        <f t="shared" ref="R39:R44" si="44">((P39*8.34*260)*K39)/2000</f>
        <v>2.5185266516129032</v>
      </c>
      <c r="S39" s="316">
        <f t="shared" ref="S39:S44" si="45">((P39*8.34*40)*K39)/2000</f>
        <v>0.38746563870967743</v>
      </c>
      <c r="T39" s="383">
        <f t="shared" ref="T39:T44" si="46">E39-O39</f>
        <v>0.87706451612903269</v>
      </c>
      <c r="U39" s="383">
        <f t="shared" ref="U39:U44" si="47">F39-P39</f>
        <v>3.2158391840607212</v>
      </c>
      <c r="V39" s="383">
        <f t="shared" ref="V39:V44" si="48">G39-Q39</f>
        <v>0.84990655322580633</v>
      </c>
      <c r="W39" s="383">
        <f t="shared" ref="W39:W44" si="49">H39-R39</f>
        <v>-2.008526651612903</v>
      </c>
      <c r="X39" s="366"/>
      <c r="Y39" s="347">
        <f>T39*Y38</f>
        <v>752.9949696774197</v>
      </c>
      <c r="Z39" s="347">
        <f>U39*Z38</f>
        <v>2184.2301322058825</v>
      </c>
      <c r="AA39" s="347">
        <f>V39*AA38</f>
        <v>781.96502336093533</v>
      </c>
      <c r="AB39" s="347">
        <f>W39*AB38</f>
        <v>-2307.2548205072899</v>
      </c>
      <c r="AC39" s="393">
        <f>SUM(Z39:AB39)</f>
        <v>658.94033505952802</v>
      </c>
    </row>
    <row r="40" spans="1:29">
      <c r="A40" s="308">
        <v>44775</v>
      </c>
      <c r="B40" s="358">
        <v>73</v>
      </c>
      <c r="C40" s="356" t="s">
        <v>152</v>
      </c>
      <c r="D40" s="356" t="s">
        <v>153</v>
      </c>
      <c r="E40" s="378">
        <v>3.43</v>
      </c>
      <c r="F40" s="356">
        <v>3.49</v>
      </c>
      <c r="G40" s="356">
        <v>3.56</v>
      </c>
      <c r="H40" s="356">
        <v>0.55000000000000004</v>
      </c>
      <c r="J40" s="308">
        <v>44775</v>
      </c>
      <c r="K40" s="358">
        <v>73</v>
      </c>
      <c r="L40" s="356" t="s">
        <v>152</v>
      </c>
      <c r="M40" s="356" t="s">
        <v>153</v>
      </c>
      <c r="N40" s="375">
        <v>3540548.45</v>
      </c>
      <c r="O40" s="369">
        <f t="shared" si="41"/>
        <v>3.5405484500000002</v>
      </c>
      <c r="P40" s="321">
        <f t="shared" si="42"/>
        <v>4.8500663698630139E-2</v>
      </c>
      <c r="Q40" s="316">
        <f t="shared" si="43"/>
        <v>3.7648421943074997</v>
      </c>
      <c r="R40" s="316">
        <f t="shared" si="44"/>
        <v>3.8386626294899999</v>
      </c>
      <c r="S40" s="316">
        <f t="shared" si="45"/>
        <v>0.59056348145999993</v>
      </c>
      <c r="T40" s="383">
        <f t="shared" si="46"/>
        <v>-0.11054845000000002</v>
      </c>
      <c r="U40" s="383">
        <f t="shared" si="47"/>
        <v>3.4414993363013702</v>
      </c>
      <c r="V40" s="383">
        <f t="shared" si="48"/>
        <v>-0.20484219430749961</v>
      </c>
      <c r="W40" s="383">
        <f t="shared" si="49"/>
        <v>-3.2886626294900001</v>
      </c>
      <c r="X40" s="363"/>
      <c r="Y40" s="347">
        <f>T40*Y38</f>
        <v>-94.910266263000011</v>
      </c>
      <c r="Z40" s="347">
        <f>U40*Z38</f>
        <v>2337.5007642092537</v>
      </c>
      <c r="AA40" s="347">
        <f>V40*AA38</f>
        <v>-188.46710929455807</v>
      </c>
      <c r="AB40" s="347">
        <f>W40*AB38</f>
        <v>-3777.7854223740478</v>
      </c>
      <c r="AC40" s="394">
        <f>SUM(Z40:AB40)</f>
        <v>-1628.7517674593523</v>
      </c>
    </row>
    <row r="41" spans="1:29" s="13" customFormat="1">
      <c r="A41" s="308">
        <v>44845</v>
      </c>
      <c r="B41" s="358">
        <v>73</v>
      </c>
      <c r="C41" s="356" t="s">
        <v>154</v>
      </c>
      <c r="D41" s="356" t="s">
        <v>155</v>
      </c>
      <c r="E41" s="378">
        <v>1.02</v>
      </c>
      <c r="F41" s="356">
        <v>0.93</v>
      </c>
      <c r="G41" s="356">
        <v>0.95</v>
      </c>
      <c r="H41" s="356">
        <v>0.14000000000000001</v>
      </c>
      <c r="I41" s="359"/>
      <c r="J41" s="308">
        <v>44845</v>
      </c>
      <c r="K41" s="358">
        <v>73</v>
      </c>
      <c r="L41" s="356" t="s">
        <v>154</v>
      </c>
      <c r="M41" s="356" t="s">
        <v>155</v>
      </c>
      <c r="N41" s="375">
        <v>3214903.2</v>
      </c>
      <c r="O41" s="369">
        <f t="shared" si="41"/>
        <v>3.2149032000000002</v>
      </c>
      <c r="P41" s="321">
        <f t="shared" si="42"/>
        <v>4.4039769863013702E-2</v>
      </c>
      <c r="Q41" s="316">
        <f t="shared" si="43"/>
        <v>3.41856731772</v>
      </c>
      <c r="R41" s="316">
        <f t="shared" si="44"/>
        <v>3.4855980494400001</v>
      </c>
      <c r="S41" s="316">
        <f t="shared" si="45"/>
        <v>0.53624585375999989</v>
      </c>
      <c r="T41" s="383">
        <f t="shared" si="46"/>
        <v>-2.1949032000000002</v>
      </c>
      <c r="U41" s="383">
        <f t="shared" si="47"/>
        <v>0.88596023013698633</v>
      </c>
      <c r="V41" s="383">
        <f t="shared" si="48"/>
        <v>-2.4685673177199998</v>
      </c>
      <c r="W41" s="383">
        <f t="shared" si="49"/>
        <v>-3.3455980494399999</v>
      </c>
      <c r="X41" s="363"/>
      <c r="Y41" s="347">
        <f>T41*Y38</f>
        <v>-1884.4121933280001</v>
      </c>
      <c r="Z41" s="347">
        <f>U41*Z38</f>
        <v>601.75304791134249</v>
      </c>
      <c r="AA41" s="347">
        <f>V41*AA38</f>
        <v>-2271.2300463414631</v>
      </c>
      <c r="AB41" s="347">
        <f>W41*AB38</f>
        <v>-3843.188847333211</v>
      </c>
      <c r="AC41" s="394">
        <f t="shared" ref="AC41:AC44" si="50">SUM(Z41:AB41)</f>
        <v>-5512.6658457633312</v>
      </c>
    </row>
    <row r="42" spans="1:29">
      <c r="A42" s="308">
        <v>44901</v>
      </c>
      <c r="B42" s="358">
        <v>63</v>
      </c>
      <c r="C42" s="356" t="s">
        <v>156</v>
      </c>
      <c r="D42" s="356" t="s">
        <v>157</v>
      </c>
      <c r="E42" s="378">
        <v>2.02</v>
      </c>
      <c r="F42" s="356">
        <v>2.0099999999999998</v>
      </c>
      <c r="G42" s="356">
        <v>2.0499999999999998</v>
      </c>
      <c r="H42" s="356">
        <v>0.32</v>
      </c>
      <c r="J42" s="308">
        <v>44901</v>
      </c>
      <c r="K42" s="358">
        <v>63</v>
      </c>
      <c r="L42" s="356" t="s">
        <v>156</v>
      </c>
      <c r="M42" s="356" t="s">
        <v>157</v>
      </c>
      <c r="N42" s="375">
        <v>4066290.37</v>
      </c>
      <c r="O42" s="369">
        <f t="shared" si="41"/>
        <v>4.0662903699999999</v>
      </c>
      <c r="P42" s="321">
        <f t="shared" si="42"/>
        <v>6.4544291587301586E-2</v>
      </c>
      <c r="Q42" s="316">
        <f t="shared" si="43"/>
        <v>4.323889864939499</v>
      </c>
      <c r="R42" s="316">
        <f t="shared" si="44"/>
        <v>4.4086720191539985</v>
      </c>
      <c r="S42" s="316">
        <f t="shared" si="45"/>
        <v>0.67825723371599989</v>
      </c>
      <c r="T42" s="383">
        <f t="shared" si="46"/>
        <v>-2.0462903699999999</v>
      </c>
      <c r="U42" s="383">
        <f t="shared" si="47"/>
        <v>1.9454557084126982</v>
      </c>
      <c r="V42" s="383">
        <f t="shared" si="48"/>
        <v>-2.2738898649394992</v>
      </c>
      <c r="W42" s="383">
        <f t="shared" si="49"/>
        <v>-4.0886720191539982</v>
      </c>
      <c r="X42" s="363"/>
      <c r="Y42" s="347">
        <f>T42*Y38</f>
        <v>-1756.8221342597999</v>
      </c>
      <c r="Z42" s="347">
        <f>U42*Z38</f>
        <v>1321.3729717109888</v>
      </c>
      <c r="AA42" s="347">
        <f>V42*AA38</f>
        <v>-2092.1151091362353</v>
      </c>
      <c r="AB42" s="347">
        <f>W42*AB38</f>
        <v>-4696.7802085627727</v>
      </c>
      <c r="AC42" s="394">
        <f t="shared" si="50"/>
        <v>-5467.522345988019</v>
      </c>
    </row>
    <row r="43" spans="1:29">
      <c r="A43" s="308">
        <v>44978</v>
      </c>
      <c r="B43" s="358">
        <v>70</v>
      </c>
      <c r="C43" s="356" t="s">
        <v>158</v>
      </c>
      <c r="D43" s="356" t="s">
        <v>159</v>
      </c>
      <c r="E43" s="378">
        <v>1.54</v>
      </c>
      <c r="F43" s="356">
        <v>1.49</v>
      </c>
      <c r="G43" s="356">
        <v>1.52</v>
      </c>
      <c r="H43" s="356">
        <v>0.23</v>
      </c>
      <c r="J43" s="308">
        <v>44978</v>
      </c>
      <c r="K43" s="358">
        <v>70</v>
      </c>
      <c r="L43" s="356" t="s">
        <v>158</v>
      </c>
      <c r="M43" s="356" t="s">
        <v>159</v>
      </c>
      <c r="N43" s="375">
        <v>3413999.87</v>
      </c>
      <c r="O43" s="369">
        <f t="shared" si="41"/>
        <v>3.41399987</v>
      </c>
      <c r="P43" s="321">
        <f t="shared" si="42"/>
        <v>4.8771426714285714E-2</v>
      </c>
      <c r="Q43" s="316">
        <f t="shared" si="43"/>
        <v>3.6302767617644998</v>
      </c>
      <c r="R43" s="316">
        <f t="shared" si="44"/>
        <v>3.701458659054</v>
      </c>
      <c r="S43" s="316">
        <f t="shared" si="45"/>
        <v>0.56945517831600001</v>
      </c>
      <c r="T43" s="383">
        <f t="shared" si="46"/>
        <v>-1.87399987</v>
      </c>
      <c r="U43" s="383">
        <f t="shared" si="47"/>
        <v>1.4412285732857142</v>
      </c>
      <c r="V43" s="383">
        <f t="shared" si="48"/>
        <v>-2.1102767617644997</v>
      </c>
      <c r="W43" s="383">
        <f t="shared" si="49"/>
        <v>-3.471458659054</v>
      </c>
      <c r="X43" s="363"/>
      <c r="Y43" s="347">
        <f>T43*Y38</f>
        <v>-1608.9038483898</v>
      </c>
      <c r="Z43" s="347">
        <f>U43*Z38</f>
        <v>978.89685926138998</v>
      </c>
      <c r="AA43" s="347">
        <f>V43*AA38</f>
        <v>-1941.5812374290456</v>
      </c>
      <c r="AB43" s="347">
        <f>W43*AB38</f>
        <v>-3987.7687054151015</v>
      </c>
      <c r="AC43" s="394">
        <f t="shared" si="50"/>
        <v>-4950.4530835827572</v>
      </c>
    </row>
    <row r="44" spans="1:29" s="13" customFormat="1" ht="15.75" thickBot="1">
      <c r="A44" s="308">
        <v>44999</v>
      </c>
      <c r="B44" s="358">
        <v>18</v>
      </c>
      <c r="C44" s="356" t="s">
        <v>138</v>
      </c>
      <c r="D44" s="356" t="s">
        <v>160</v>
      </c>
      <c r="E44" s="378">
        <v>0.4</v>
      </c>
      <c r="F44" s="356">
        <v>0.38</v>
      </c>
      <c r="G44" s="356">
        <v>0.39</v>
      </c>
      <c r="H44" s="356">
        <v>0.06</v>
      </c>
      <c r="I44" s="359"/>
      <c r="J44" s="308">
        <v>44999</v>
      </c>
      <c r="K44" s="358">
        <v>18</v>
      </c>
      <c r="L44" s="356" t="s">
        <v>138</v>
      </c>
      <c r="M44" s="356" t="s">
        <v>160</v>
      </c>
      <c r="N44" s="375">
        <v>722322.54</v>
      </c>
      <c r="O44" s="369">
        <f t="shared" si="41"/>
        <v>0.72232253999999996</v>
      </c>
      <c r="P44" s="321">
        <f t="shared" si="42"/>
        <v>4.0129029999999996E-2</v>
      </c>
      <c r="Q44" s="316">
        <f t="shared" si="43"/>
        <v>0.76808167290900009</v>
      </c>
      <c r="R44" s="316">
        <f t="shared" si="44"/>
        <v>0.78314209786799993</v>
      </c>
      <c r="S44" s="316">
        <f t="shared" si="45"/>
        <v>0.12048339967199999</v>
      </c>
      <c r="T44" s="383">
        <f t="shared" si="46"/>
        <v>-0.32232253999999994</v>
      </c>
      <c r="U44" s="383">
        <f t="shared" si="47"/>
        <v>0.33987096999999999</v>
      </c>
      <c r="V44" s="383">
        <f t="shared" si="48"/>
        <v>-0.37808167290900008</v>
      </c>
      <c r="W44" s="383">
        <f t="shared" si="49"/>
        <v>-0.72314209786799988</v>
      </c>
      <c r="X44" s="318"/>
      <c r="Y44" s="395">
        <f>T44*Y38</f>
        <v>-276.72679349159995</v>
      </c>
      <c r="Z44" s="395">
        <f>U44*Z38</f>
        <v>230.84376153370002</v>
      </c>
      <c r="AA44" s="395">
        <f>V44*AA38</f>
        <v>-347.85782397665457</v>
      </c>
      <c r="AB44" s="395">
        <f>W44*AB38</f>
        <v>-830.69502208390747</v>
      </c>
      <c r="AC44" s="396">
        <f t="shared" si="50"/>
        <v>-947.70908452686206</v>
      </c>
    </row>
    <row r="45" spans="1:29" s="13" customFormat="1" ht="15.75" thickBot="1">
      <c r="A45" s="337"/>
      <c r="B45" s="337"/>
      <c r="C45" s="337"/>
      <c r="D45" s="337"/>
      <c r="E45" s="357">
        <f>SUM(E39:E44)</f>
        <v>11.610000000000001</v>
      </c>
      <c r="F45" s="337"/>
      <c r="G45" s="337"/>
      <c r="H45" s="337"/>
      <c r="I45" s="359"/>
      <c r="J45" s="337"/>
      <c r="K45" s="337"/>
      <c r="L45" s="337"/>
      <c r="M45" s="337"/>
      <c r="N45" s="368">
        <f>SUM(N39:N44)</f>
        <v>17280999.913870968</v>
      </c>
      <c r="O45" s="384">
        <f>SUM(O39:O44)</f>
        <v>17.280999913870971</v>
      </c>
      <c r="P45" s="370"/>
      <c r="Q45" s="337"/>
      <c r="R45" s="337"/>
      <c r="S45" s="337"/>
      <c r="T45" s="377"/>
      <c r="U45" s="337"/>
      <c r="V45" s="337"/>
      <c r="W45" s="337"/>
      <c r="X45" s="357"/>
      <c r="Y45" s="357"/>
      <c r="Z45" s="357"/>
      <c r="AA45" s="357"/>
      <c r="AB45" s="357"/>
      <c r="AC45" s="346">
        <f>SUM(AC39:AC44)</f>
        <v>-17848.161792260791</v>
      </c>
    </row>
    <row r="46" spans="1:29" s="380" customFormat="1" ht="15.75" thickBot="1">
      <c r="A46" s="377"/>
      <c r="B46" s="377"/>
      <c r="C46" s="377"/>
      <c r="D46" s="377"/>
      <c r="E46" s="357"/>
      <c r="F46" s="377"/>
      <c r="G46" s="377"/>
      <c r="H46" s="377"/>
      <c r="J46" s="377"/>
      <c r="K46" s="377"/>
      <c r="L46" s="377"/>
      <c r="M46" s="377"/>
      <c r="N46" s="377"/>
      <c r="O46" s="357"/>
      <c r="P46" s="377"/>
      <c r="Q46" s="377"/>
      <c r="R46" s="377"/>
      <c r="S46" s="377"/>
      <c r="T46" s="377"/>
      <c r="U46" s="377"/>
      <c r="V46" s="377"/>
      <c r="W46" s="377"/>
      <c r="X46" s="333"/>
      <c r="Y46" s="333"/>
      <c r="Z46" s="333"/>
      <c r="AA46" s="333"/>
      <c r="AB46" s="333"/>
      <c r="AC46" s="333"/>
    </row>
    <row r="47" spans="1:29" s="13" customFormat="1">
      <c r="A47" s="337"/>
      <c r="B47" s="337"/>
      <c r="C47" s="337"/>
      <c r="D47" s="337"/>
      <c r="E47" s="357"/>
      <c r="F47" s="337"/>
      <c r="G47" s="337"/>
      <c r="H47" s="337"/>
      <c r="I47" s="359"/>
      <c r="J47" s="337"/>
      <c r="K47" s="337"/>
      <c r="L47" s="337"/>
      <c r="M47" s="337"/>
      <c r="N47" s="337"/>
      <c r="O47" s="357"/>
      <c r="P47" s="370"/>
      <c r="Q47" s="337"/>
      <c r="R47" s="337"/>
      <c r="S47" s="337"/>
      <c r="T47" s="377"/>
      <c r="U47" s="337"/>
      <c r="V47" s="337"/>
      <c r="W47" s="337"/>
      <c r="X47" s="400" t="s">
        <v>290</v>
      </c>
      <c r="Y47" s="401"/>
      <c r="Z47" s="401"/>
      <c r="AA47" s="401"/>
      <c r="AB47" s="401"/>
      <c r="AC47" s="402"/>
    </row>
    <row r="48" spans="1:29" s="13" customFormat="1">
      <c r="A48" s="405" t="s">
        <v>149</v>
      </c>
      <c r="B48" s="405"/>
      <c r="C48" s="405"/>
      <c r="D48" s="405"/>
      <c r="E48" s="405"/>
      <c r="F48" s="405"/>
      <c r="G48" s="405"/>
      <c r="H48" s="405"/>
      <c r="I48" s="313"/>
      <c r="J48" s="406" t="s">
        <v>134</v>
      </c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352"/>
      <c r="Y48" s="392" t="s">
        <v>285</v>
      </c>
      <c r="Z48" s="365" t="s">
        <v>241</v>
      </c>
      <c r="AA48" s="365" t="s">
        <v>242</v>
      </c>
      <c r="AB48" s="365" t="s">
        <v>243</v>
      </c>
      <c r="AC48" s="348"/>
    </row>
    <row r="49" spans="1:29" s="13" customFormat="1" ht="30.75" thickBot="1">
      <c r="A49" s="356" t="s">
        <v>105</v>
      </c>
      <c r="B49" s="356" t="s">
        <v>75</v>
      </c>
      <c r="C49" s="356" t="s">
        <v>106</v>
      </c>
      <c r="D49" s="356" t="s">
        <v>107</v>
      </c>
      <c r="E49" s="378" t="s">
        <v>116</v>
      </c>
      <c r="F49" s="356" t="s">
        <v>117</v>
      </c>
      <c r="G49" s="356" t="s">
        <v>118</v>
      </c>
      <c r="H49" s="356" t="s">
        <v>119</v>
      </c>
      <c r="I49" s="311"/>
      <c r="J49" s="364" t="s">
        <v>105</v>
      </c>
      <c r="K49" s="364" t="s">
        <v>75</v>
      </c>
      <c r="L49" s="364" t="s">
        <v>106</v>
      </c>
      <c r="M49" s="364" t="s">
        <v>107</v>
      </c>
      <c r="N49" s="378" t="s">
        <v>282</v>
      </c>
      <c r="O49" s="378" t="s">
        <v>284</v>
      </c>
      <c r="P49" s="371" t="s">
        <v>120</v>
      </c>
      <c r="Q49" s="364" t="s">
        <v>117</v>
      </c>
      <c r="R49" s="364" t="s">
        <v>118</v>
      </c>
      <c r="S49" s="364" t="s">
        <v>119</v>
      </c>
      <c r="T49" s="378" t="s">
        <v>283</v>
      </c>
      <c r="U49" s="364" t="s">
        <v>135</v>
      </c>
      <c r="V49" s="364" t="s">
        <v>136</v>
      </c>
      <c r="W49" s="364" t="s">
        <v>137</v>
      </c>
      <c r="X49" s="344" t="s">
        <v>240</v>
      </c>
      <c r="Y49" s="336">
        <v>878.78</v>
      </c>
      <c r="Z49" s="336">
        <v>688.4</v>
      </c>
      <c r="AA49" s="336">
        <v>945.16</v>
      </c>
      <c r="AB49" s="336">
        <v>1168.77</v>
      </c>
      <c r="AC49" s="329" t="s">
        <v>280</v>
      </c>
    </row>
    <row r="50" spans="1:29">
      <c r="A50" s="308">
        <v>45034</v>
      </c>
      <c r="B50" s="358">
        <v>51</v>
      </c>
      <c r="C50" s="356" t="s">
        <v>138</v>
      </c>
      <c r="D50" s="356" t="s">
        <v>139</v>
      </c>
      <c r="E50" s="378">
        <v>0.66</v>
      </c>
      <c r="F50" s="356">
        <v>0.6</v>
      </c>
      <c r="G50" s="356">
        <v>0.61</v>
      </c>
      <c r="H50" s="356">
        <v>0.09</v>
      </c>
      <c r="J50" s="308">
        <v>45034</v>
      </c>
      <c r="K50" s="358">
        <v>51</v>
      </c>
      <c r="L50" s="356" t="s">
        <v>138</v>
      </c>
      <c r="M50" s="356" t="s">
        <v>139</v>
      </c>
      <c r="N50" s="376">
        <v>1686857.1428571427</v>
      </c>
      <c r="O50" s="369">
        <f t="shared" ref="O50:O55" si="51">N50*0.000001</f>
        <v>1.6868571428571426</v>
      </c>
      <c r="P50" s="321">
        <f t="shared" ref="P50:P55" si="52">(N50/K50)*0.000001</f>
        <v>3.3075630252100842E-2</v>
      </c>
      <c r="Q50" s="316">
        <f t="shared" ref="Q50:Q55" si="53">((P50*8.34*255)*K50)/2000</f>
        <v>1.7937195428571431</v>
      </c>
      <c r="R50" s="316">
        <f t="shared" ref="R50:R55" si="54">((P50*8.34*260)*K50)/2000</f>
        <v>1.8288905142857146</v>
      </c>
      <c r="S50" s="316">
        <f t="shared" ref="S50:S55" si="55">((P50*8.34*40)*K50)/2000</f>
        <v>0.2813677714285715</v>
      </c>
      <c r="T50" s="383">
        <f t="shared" ref="T50:T55" si="56">E50-O50</f>
        <v>-1.0268571428571427</v>
      </c>
      <c r="U50" s="383">
        <f t="shared" ref="U50:U55" si="57">F50-P50</f>
        <v>0.56692436974789917</v>
      </c>
      <c r="V50" s="383">
        <f t="shared" ref="V50:V55" si="58">G50-Q50</f>
        <v>-1.1837195428571432</v>
      </c>
      <c r="W50" s="383">
        <f t="shared" ref="W50:W55" si="59">H50-R50</f>
        <v>-1.7388905142857145</v>
      </c>
      <c r="X50" s="366"/>
      <c r="Y50" s="347">
        <f>T50*Y49</f>
        <v>-902.3815199999998</v>
      </c>
      <c r="Z50" s="347">
        <f>U50*Z49</f>
        <v>390.27073613445378</v>
      </c>
      <c r="AA50" s="347">
        <f>V50*AA49</f>
        <v>-1118.8043631268574</v>
      </c>
      <c r="AB50" s="347">
        <f>W50*AB49</f>
        <v>-2032.3630663817146</v>
      </c>
      <c r="AC50" s="393">
        <f>SUM(Z50:AB50)</f>
        <v>-2760.8966933741185</v>
      </c>
    </row>
    <row r="51" spans="1:29">
      <c r="A51" s="308">
        <v>45099</v>
      </c>
      <c r="B51" s="358">
        <v>63</v>
      </c>
      <c r="C51" s="356" t="s">
        <v>140</v>
      </c>
      <c r="D51" s="356" t="s">
        <v>141</v>
      </c>
      <c r="E51" s="378">
        <v>2.84</v>
      </c>
      <c r="F51" s="356">
        <v>3.01</v>
      </c>
      <c r="G51" s="356">
        <v>3.07</v>
      </c>
      <c r="H51" s="356">
        <v>0.47</v>
      </c>
      <c r="J51" s="308">
        <v>45099</v>
      </c>
      <c r="K51" s="358">
        <v>63</v>
      </c>
      <c r="L51" s="356" t="s">
        <v>140</v>
      </c>
      <c r="M51" s="356" t="s">
        <v>141</v>
      </c>
      <c r="N51" s="376">
        <v>2994742.88</v>
      </c>
      <c r="O51" s="369">
        <f t="shared" si="51"/>
        <v>2.9947428799999996</v>
      </c>
      <c r="P51" s="321">
        <f t="shared" si="52"/>
        <v>4.7535601269841264E-2</v>
      </c>
      <c r="Q51" s="316">
        <f t="shared" si="53"/>
        <v>3.1844598414479997</v>
      </c>
      <c r="R51" s="316">
        <f t="shared" si="54"/>
        <v>3.2469002304959997</v>
      </c>
      <c r="S51" s="316">
        <f t="shared" si="55"/>
        <v>0.49952311238399993</v>
      </c>
      <c r="T51" s="383">
        <f t="shared" si="56"/>
        <v>-0.15474287999999969</v>
      </c>
      <c r="U51" s="383">
        <f t="shared" si="57"/>
        <v>2.9624643987301584</v>
      </c>
      <c r="V51" s="383">
        <f t="shared" si="58"/>
        <v>-0.11445984144799981</v>
      </c>
      <c r="W51" s="383">
        <f t="shared" si="59"/>
        <v>-2.7769002304959995</v>
      </c>
      <c r="X51" s="363"/>
      <c r="Y51" s="347">
        <f>T51*Y49</f>
        <v>-135.98494808639973</v>
      </c>
      <c r="Z51" s="347">
        <f>U51*Z49</f>
        <v>2039.3604920858411</v>
      </c>
      <c r="AA51" s="347">
        <f>V51*AA49</f>
        <v>-108.1828637429915</v>
      </c>
      <c r="AB51" s="347">
        <f>W51*AB49</f>
        <v>-3245.5576823968095</v>
      </c>
      <c r="AC51" s="394">
        <f>SUM(Z51:AB51)</f>
        <v>-1314.3800540539598</v>
      </c>
    </row>
    <row r="52" spans="1:29" s="13" customFormat="1">
      <c r="A52" s="308">
        <v>45167</v>
      </c>
      <c r="B52" s="358">
        <v>63</v>
      </c>
      <c r="C52" s="356" t="s">
        <v>142</v>
      </c>
      <c r="D52" s="356" t="s">
        <v>143</v>
      </c>
      <c r="E52" s="378">
        <v>2.08</v>
      </c>
      <c r="F52" s="356">
        <v>2.08</v>
      </c>
      <c r="G52" s="356">
        <v>2.12</v>
      </c>
      <c r="H52" s="356">
        <v>0.32</v>
      </c>
      <c r="I52" s="359"/>
      <c r="J52" s="308">
        <v>45167</v>
      </c>
      <c r="K52" s="358">
        <v>63</v>
      </c>
      <c r="L52" s="356" t="s">
        <v>142</v>
      </c>
      <c r="M52" s="356" t="s">
        <v>143</v>
      </c>
      <c r="N52" s="376">
        <v>2484866.69</v>
      </c>
      <c r="O52" s="369">
        <f t="shared" si="51"/>
        <v>2.48486669</v>
      </c>
      <c r="P52" s="321">
        <f t="shared" si="52"/>
        <v>3.9442328412698416E-2</v>
      </c>
      <c r="Q52" s="316">
        <f t="shared" si="53"/>
        <v>2.6422829948115001</v>
      </c>
      <c r="R52" s="316">
        <f t="shared" si="54"/>
        <v>2.6940924652979996</v>
      </c>
      <c r="S52" s="316">
        <f t="shared" si="55"/>
        <v>0.41447576389199997</v>
      </c>
      <c r="T52" s="383">
        <f t="shared" si="56"/>
        <v>-0.40486668999999997</v>
      </c>
      <c r="U52" s="383">
        <f t="shared" si="57"/>
        <v>2.0405576715873015</v>
      </c>
      <c r="V52" s="383">
        <f t="shared" si="58"/>
        <v>-0.52228299481149998</v>
      </c>
      <c r="W52" s="383">
        <f t="shared" si="59"/>
        <v>-2.3740924652979998</v>
      </c>
      <c r="X52" s="363"/>
      <c r="Y52" s="347">
        <f>T52*Y49</f>
        <v>-355.78874983819998</v>
      </c>
      <c r="Z52" s="347">
        <f>U52*Z49</f>
        <v>1404.7199011206983</v>
      </c>
      <c r="AA52" s="347">
        <f>V52*AA49</f>
        <v>-493.64099537603732</v>
      </c>
      <c r="AB52" s="347">
        <f>W52*AB49</f>
        <v>-2774.7680506663432</v>
      </c>
      <c r="AC52" s="394">
        <f t="shared" ref="AC52:AC55" si="60">SUM(Z52:AB52)</f>
        <v>-1863.6891449216823</v>
      </c>
    </row>
    <row r="53" spans="1:29" s="13" customFormat="1">
      <c r="A53" s="308">
        <v>45274</v>
      </c>
      <c r="B53" s="358">
        <v>68</v>
      </c>
      <c r="C53" s="356" t="s">
        <v>144</v>
      </c>
      <c r="D53" s="356" t="s">
        <v>145</v>
      </c>
      <c r="E53" s="378">
        <v>2.82</v>
      </c>
      <c r="F53" s="356">
        <v>2.85</v>
      </c>
      <c r="G53" s="356">
        <v>2.9</v>
      </c>
      <c r="H53" s="356">
        <v>0.45</v>
      </c>
      <c r="I53" s="359"/>
      <c r="J53" s="308">
        <v>45274</v>
      </c>
      <c r="K53" s="358">
        <v>68</v>
      </c>
      <c r="L53" s="356" t="s">
        <v>144</v>
      </c>
      <c r="M53" s="356" t="s">
        <v>145</v>
      </c>
      <c r="N53" s="376">
        <v>2664466.65</v>
      </c>
      <c r="O53" s="369">
        <f t="shared" si="51"/>
        <v>2.6644666499999996</v>
      </c>
      <c r="P53" s="321">
        <f t="shared" si="52"/>
        <v>3.9183333088235288E-2</v>
      </c>
      <c r="Q53" s="316">
        <f t="shared" si="53"/>
        <v>2.833260612277499</v>
      </c>
      <c r="R53" s="316">
        <f t="shared" si="54"/>
        <v>2.8888147419299992</v>
      </c>
      <c r="S53" s="316">
        <f t="shared" si="55"/>
        <v>0.44443303721999988</v>
      </c>
      <c r="T53" s="383">
        <f t="shared" si="56"/>
        <v>0.15553335000000024</v>
      </c>
      <c r="U53" s="383">
        <f t="shared" si="57"/>
        <v>2.8108166669117649</v>
      </c>
      <c r="V53" s="383">
        <f t="shared" si="58"/>
        <v>6.6739387722500876E-2</v>
      </c>
      <c r="W53" s="383">
        <f t="shared" si="59"/>
        <v>-2.438814741929999</v>
      </c>
      <c r="X53" s="363"/>
      <c r="Y53" s="347">
        <f>T53*Y49</f>
        <v>136.67959731300022</v>
      </c>
      <c r="Z53" s="347">
        <f>U53*Z49</f>
        <v>1934.9661935020588</v>
      </c>
      <c r="AA53" s="347">
        <f>V53*AA49</f>
        <v>63.079399699798927</v>
      </c>
      <c r="AB53" s="347">
        <f>W53*AB49</f>
        <v>-2850.413505925525</v>
      </c>
      <c r="AC53" s="394">
        <f t="shared" si="60"/>
        <v>-852.36791272366736</v>
      </c>
    </row>
    <row r="54" spans="1:29" s="12" customFormat="1">
      <c r="A54" s="308">
        <v>45335</v>
      </c>
      <c r="B54" s="358">
        <v>63</v>
      </c>
      <c r="C54" s="356" t="s">
        <v>146</v>
      </c>
      <c r="D54" s="356" t="s">
        <v>147</v>
      </c>
      <c r="E54" s="378">
        <v>2.54</v>
      </c>
      <c r="F54" s="356">
        <v>2.56</v>
      </c>
      <c r="G54" s="356">
        <v>2.62</v>
      </c>
      <c r="H54" s="356">
        <v>0.4</v>
      </c>
      <c r="I54" s="359"/>
      <c r="J54" s="308">
        <v>45335</v>
      </c>
      <c r="K54" s="358">
        <v>63</v>
      </c>
      <c r="L54" s="356" t="s">
        <v>146</v>
      </c>
      <c r="M54" s="356" t="s">
        <v>147</v>
      </c>
      <c r="N54" s="376">
        <v>3981533.43</v>
      </c>
      <c r="O54" s="369">
        <f t="shared" si="51"/>
        <v>3.9815334299999998</v>
      </c>
      <c r="P54" s="321">
        <f t="shared" si="52"/>
        <v>6.3198943333333327E-2</v>
      </c>
      <c r="Q54" s="316">
        <f t="shared" si="53"/>
        <v>4.2337635727904992</v>
      </c>
      <c r="R54" s="316">
        <f t="shared" si="54"/>
        <v>4.3167785448059997</v>
      </c>
      <c r="S54" s="316">
        <f t="shared" si="55"/>
        <v>0.66411977612399997</v>
      </c>
      <c r="T54" s="383">
        <f t="shared" si="56"/>
        <v>-1.4415334299999998</v>
      </c>
      <c r="U54" s="383">
        <f t="shared" si="57"/>
        <v>2.4968010566666665</v>
      </c>
      <c r="V54" s="383">
        <f t="shared" si="58"/>
        <v>-1.6137635727904991</v>
      </c>
      <c r="W54" s="383">
        <f t="shared" si="59"/>
        <v>-3.9167785448059997</v>
      </c>
      <c r="X54" s="363"/>
      <c r="Y54" s="347">
        <f>T54*Y49</f>
        <v>-1266.7907476153998</v>
      </c>
      <c r="Z54" s="347">
        <f>U54*Z49</f>
        <v>1718.7978474093331</v>
      </c>
      <c r="AA54" s="347">
        <f>V54*AA49</f>
        <v>-1525.2647784586682</v>
      </c>
      <c r="AB54" s="347">
        <f>W54*AB49</f>
        <v>-4577.8132598129087</v>
      </c>
      <c r="AC54" s="394">
        <f t="shared" si="60"/>
        <v>-4384.2801908622441</v>
      </c>
    </row>
    <row r="55" spans="1:29" s="13" customFormat="1" ht="15.75" thickBot="1">
      <c r="A55" s="308">
        <v>45351</v>
      </c>
      <c r="B55" s="358">
        <v>57</v>
      </c>
      <c r="C55" s="356" t="s">
        <v>86</v>
      </c>
      <c r="D55" s="356" t="s">
        <v>148</v>
      </c>
      <c r="E55" s="378">
        <v>2.23</v>
      </c>
      <c r="F55" s="356">
        <v>2.2400000000000002</v>
      </c>
      <c r="G55" s="356">
        <v>2.2799999999999998</v>
      </c>
      <c r="H55" s="356">
        <v>0.35</v>
      </c>
      <c r="I55" s="359"/>
      <c r="J55" s="308">
        <v>45351</v>
      </c>
      <c r="K55" s="358">
        <v>57</v>
      </c>
      <c r="L55" s="356" t="s">
        <v>86</v>
      </c>
      <c r="M55" s="356" t="s">
        <v>148</v>
      </c>
      <c r="N55" s="376">
        <v>2233533.42</v>
      </c>
      <c r="O55" s="369">
        <f t="shared" si="51"/>
        <v>2.2335334199999997</v>
      </c>
      <c r="P55" s="321">
        <f t="shared" si="52"/>
        <v>3.9184796842105261E-2</v>
      </c>
      <c r="Q55" s="316">
        <f t="shared" si="53"/>
        <v>2.375027762157</v>
      </c>
      <c r="R55" s="316">
        <f t="shared" si="54"/>
        <v>2.421596933964</v>
      </c>
      <c r="S55" s="316">
        <f t="shared" si="55"/>
        <v>0.37255337445600001</v>
      </c>
      <c r="T55" s="383">
        <f t="shared" si="56"/>
        <v>-3.5334199999996763E-3</v>
      </c>
      <c r="U55" s="383">
        <f t="shared" si="57"/>
        <v>2.2008152031578949</v>
      </c>
      <c r="V55" s="383">
        <f t="shared" si="58"/>
        <v>-9.5027762157000151E-2</v>
      </c>
      <c r="W55" s="383">
        <f t="shared" si="59"/>
        <v>-2.0715969339639999</v>
      </c>
      <c r="X55" s="318"/>
      <c r="Y55" s="395">
        <f>T55*Y49</f>
        <v>-3.1050988275997153</v>
      </c>
      <c r="Z55" s="395">
        <f>U55*Z49</f>
        <v>1515.0411858538948</v>
      </c>
      <c r="AA55" s="395">
        <f>V55*AA49</f>
        <v>-89.816439680310253</v>
      </c>
      <c r="AB55" s="395">
        <f>W55*AB49</f>
        <v>-2421.220348509104</v>
      </c>
      <c r="AC55" s="396">
        <f t="shared" si="60"/>
        <v>-995.99560233551938</v>
      </c>
    </row>
    <row r="56" spans="1:29" s="12" customFormat="1" ht="15.75" thickBot="1">
      <c r="A56" s="337"/>
      <c r="B56" s="337"/>
      <c r="C56" s="337"/>
      <c r="D56" s="337"/>
      <c r="E56" s="357">
        <f>SUM(E50:E55)</f>
        <v>13.170000000000002</v>
      </c>
      <c r="F56" s="337"/>
      <c r="G56" s="337"/>
      <c r="H56" s="337"/>
      <c r="I56" s="359"/>
      <c r="J56" s="337"/>
      <c r="K56" s="337"/>
      <c r="L56" s="337"/>
      <c r="M56" s="337"/>
      <c r="N56" s="368">
        <f>SUM(N50:N55)</f>
        <v>16046000.212857142</v>
      </c>
      <c r="O56" s="384">
        <f>SUM(O51:O55)</f>
        <v>14.359143069999998</v>
      </c>
      <c r="P56" s="370"/>
      <c r="Q56" s="337"/>
      <c r="R56" s="337"/>
      <c r="S56" s="337"/>
      <c r="T56" s="377"/>
      <c r="U56" s="337"/>
      <c r="V56" s="337"/>
      <c r="W56" s="337"/>
      <c r="X56" s="357"/>
      <c r="Y56" s="357"/>
      <c r="Z56" s="357"/>
      <c r="AA56" s="357"/>
      <c r="AB56" s="357"/>
      <c r="AC56" s="346">
        <f>SUM(AC50:AC55)</f>
        <v>-12171.609598271192</v>
      </c>
    </row>
    <row r="57" spans="1:29" s="377" customFormat="1" ht="15.75" thickBot="1">
      <c r="E57" s="357"/>
      <c r="I57" s="380"/>
      <c r="O57" s="357"/>
      <c r="X57" s="357"/>
      <c r="Y57" s="357"/>
      <c r="Z57" s="357"/>
      <c r="AA57" s="357"/>
      <c r="AB57" s="357"/>
      <c r="AC57" s="357"/>
    </row>
    <row r="58" spans="1:29" s="12" customFormat="1">
      <c r="A58" s="337"/>
      <c r="B58" s="337"/>
      <c r="C58" s="337"/>
      <c r="D58" s="337"/>
      <c r="E58" s="357"/>
      <c r="F58" s="337"/>
      <c r="G58" s="337"/>
      <c r="H58" s="337"/>
      <c r="I58" s="359"/>
      <c r="J58" s="337"/>
      <c r="K58" s="337"/>
      <c r="L58" s="337"/>
      <c r="M58" s="337"/>
      <c r="N58" s="337"/>
      <c r="O58" s="357"/>
      <c r="P58" s="370"/>
      <c r="Q58" s="337"/>
      <c r="R58" s="337"/>
      <c r="S58" s="337"/>
      <c r="T58" s="377"/>
      <c r="U58" s="337"/>
      <c r="V58" s="337"/>
      <c r="W58" s="337"/>
      <c r="X58" s="400" t="s">
        <v>291</v>
      </c>
      <c r="Y58" s="401"/>
      <c r="Z58" s="401"/>
      <c r="AA58" s="401"/>
      <c r="AB58" s="401"/>
      <c r="AC58" s="402"/>
    </row>
    <row r="59" spans="1:29" s="12" customFormat="1">
      <c r="A59" s="405" t="s">
        <v>108</v>
      </c>
      <c r="B59" s="405"/>
      <c r="C59" s="405"/>
      <c r="D59" s="405"/>
      <c r="E59" s="405"/>
      <c r="F59" s="405"/>
      <c r="G59" s="405"/>
      <c r="H59" s="405"/>
      <c r="I59" s="313"/>
      <c r="J59" s="406" t="s">
        <v>134</v>
      </c>
      <c r="K59" s="406"/>
      <c r="L59" s="406"/>
      <c r="M59" s="406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352"/>
      <c r="Y59" s="392" t="s">
        <v>285</v>
      </c>
      <c r="Z59" s="365" t="s">
        <v>241</v>
      </c>
      <c r="AA59" s="365" t="s">
        <v>242</v>
      </c>
      <c r="AB59" s="365" t="s">
        <v>243</v>
      </c>
      <c r="AC59" s="348"/>
    </row>
    <row r="60" spans="1:29" s="12" customFormat="1" ht="30.75" thickBot="1">
      <c r="A60" s="356" t="s">
        <v>105</v>
      </c>
      <c r="B60" s="356" t="s">
        <v>75</v>
      </c>
      <c r="C60" s="356" t="s">
        <v>106</v>
      </c>
      <c r="D60" s="356" t="s">
        <v>107</v>
      </c>
      <c r="E60" s="378" t="s">
        <v>116</v>
      </c>
      <c r="F60" s="356" t="s">
        <v>117</v>
      </c>
      <c r="G60" s="356" t="s">
        <v>118</v>
      </c>
      <c r="H60" s="356" t="s">
        <v>119</v>
      </c>
      <c r="I60" s="311"/>
      <c r="J60" s="364" t="s">
        <v>105</v>
      </c>
      <c r="K60" s="364" t="s">
        <v>75</v>
      </c>
      <c r="L60" s="364" t="s">
        <v>106</v>
      </c>
      <c r="M60" s="364" t="s">
        <v>107</v>
      </c>
      <c r="N60" s="378" t="s">
        <v>282</v>
      </c>
      <c r="O60" s="378" t="s">
        <v>284</v>
      </c>
      <c r="P60" s="371" t="s">
        <v>120</v>
      </c>
      <c r="Q60" s="364" t="s">
        <v>117</v>
      </c>
      <c r="R60" s="364" t="s">
        <v>118</v>
      </c>
      <c r="S60" s="364" t="s">
        <v>119</v>
      </c>
      <c r="T60" s="378" t="s">
        <v>283</v>
      </c>
      <c r="U60" s="364" t="s">
        <v>135</v>
      </c>
      <c r="V60" s="364" t="s">
        <v>136</v>
      </c>
      <c r="W60" s="364" t="s">
        <v>137</v>
      </c>
      <c r="X60" s="344" t="s">
        <v>240</v>
      </c>
      <c r="Y60" s="336">
        <v>836.19</v>
      </c>
      <c r="Z60" s="336">
        <v>657.22</v>
      </c>
      <c r="AA60" s="336">
        <v>989.9</v>
      </c>
      <c r="AB60" s="336">
        <v>1190.45</v>
      </c>
      <c r="AC60" s="329" t="s">
        <v>280</v>
      </c>
    </row>
    <row r="61" spans="1:29" s="13" customFormat="1">
      <c r="A61" s="308">
        <v>45377</v>
      </c>
      <c r="B61" s="358">
        <v>5</v>
      </c>
      <c r="C61" s="356" t="s">
        <v>86</v>
      </c>
      <c r="D61" s="356" t="s">
        <v>109</v>
      </c>
      <c r="E61" s="365">
        <v>0.01</v>
      </c>
      <c r="F61" s="365">
        <v>0.01</v>
      </c>
      <c r="G61" s="365">
        <v>0.01</v>
      </c>
      <c r="H61" s="365">
        <v>0</v>
      </c>
      <c r="I61" s="311"/>
      <c r="J61" s="308">
        <v>45377</v>
      </c>
      <c r="K61" s="358">
        <v>5</v>
      </c>
      <c r="L61" s="356" t="s">
        <v>86</v>
      </c>
      <c r="M61" s="356" t="s">
        <v>109</v>
      </c>
      <c r="N61" s="379">
        <v>61935.483870967735</v>
      </c>
      <c r="O61" s="369">
        <f t="shared" ref="O61:O67" si="61">N61*0.000001</f>
        <v>6.1935483870967735E-2</v>
      </c>
      <c r="P61" s="321">
        <f t="shared" ref="P61:P67" si="62">(N61/K61)*0.000001</f>
        <v>1.2387096774193546E-2</v>
      </c>
      <c r="Q61" s="316">
        <f t="shared" ref="Q61:Q67" si="63">((P61*8.34*255)*K61)/2000</f>
        <v>6.5859096774193535E-2</v>
      </c>
      <c r="R61" s="316">
        <f t="shared" ref="R61:R67" si="64">((P61*8.34*260)*K61)/2000</f>
        <v>6.7150451612903214E-2</v>
      </c>
      <c r="S61" s="316">
        <f t="shared" ref="S61:S67" si="65">((P61*8.34*40)*K61)/2000</f>
        <v>1.0330838709677418E-2</v>
      </c>
      <c r="T61" s="383">
        <f t="shared" ref="T61:T67" si="66">E61-O61</f>
        <v>-5.1935483870967733E-2</v>
      </c>
      <c r="U61" s="383">
        <f t="shared" ref="U61:U67" si="67">F61-P61</f>
        <v>-2.3870967741935461E-3</v>
      </c>
      <c r="V61" s="383">
        <f t="shared" ref="V61:V67" si="68">G61-Q61</f>
        <v>-5.5859096774193533E-2</v>
      </c>
      <c r="W61" s="383">
        <f t="shared" ref="W61:W67" si="69">H61-R61</f>
        <v>-6.7150451612903214E-2</v>
      </c>
      <c r="X61" s="366"/>
      <c r="Y61" s="347">
        <f>T61*Y60</f>
        <v>-43.427932258064509</v>
      </c>
      <c r="Z61" s="347">
        <f>U61*Z60</f>
        <v>-1.5688477419354825</v>
      </c>
      <c r="AA61" s="347">
        <f>V61*AA60</f>
        <v>-55.294919896774175</v>
      </c>
      <c r="AB61" s="347">
        <f>W61*AB60</f>
        <v>-79.939255122580633</v>
      </c>
      <c r="AC61" s="393">
        <f>SUM(Z61:AB61)</f>
        <v>-136.80302276129029</v>
      </c>
    </row>
    <row r="62" spans="1:29" s="12" customFormat="1">
      <c r="A62" s="308">
        <v>45426</v>
      </c>
      <c r="B62" s="358">
        <v>66</v>
      </c>
      <c r="C62" s="356" t="s">
        <v>87</v>
      </c>
      <c r="D62" s="356" t="s">
        <v>110</v>
      </c>
      <c r="E62" s="365">
        <v>3.11</v>
      </c>
      <c r="F62" s="365">
        <v>3.16</v>
      </c>
      <c r="G62" s="365">
        <v>3.22</v>
      </c>
      <c r="H62" s="365">
        <v>0.5</v>
      </c>
      <c r="I62" s="311"/>
      <c r="J62" s="308">
        <v>45426</v>
      </c>
      <c r="K62" s="358">
        <v>66</v>
      </c>
      <c r="L62" s="356" t="s">
        <v>87</v>
      </c>
      <c r="M62" s="356" t="s">
        <v>110</v>
      </c>
      <c r="N62" s="379">
        <v>1817871.05</v>
      </c>
      <c r="O62" s="369">
        <f t="shared" si="61"/>
        <v>1.8178710499999999</v>
      </c>
      <c r="P62" s="321">
        <f t="shared" si="62"/>
        <v>2.7543500757575758E-2</v>
      </c>
      <c r="Q62" s="316">
        <f t="shared" si="63"/>
        <v>1.9330331810174999</v>
      </c>
      <c r="R62" s="316">
        <f t="shared" si="64"/>
        <v>1.9709357924099999</v>
      </c>
      <c r="S62" s="316">
        <f t="shared" si="65"/>
        <v>0.30322089114</v>
      </c>
      <c r="T62" s="383">
        <f t="shared" si="66"/>
        <v>1.2921289499999999</v>
      </c>
      <c r="U62" s="383">
        <f t="shared" si="67"/>
        <v>3.1324564992424242</v>
      </c>
      <c r="V62" s="383">
        <f t="shared" si="68"/>
        <v>1.2869668189825003</v>
      </c>
      <c r="W62" s="383">
        <f t="shared" si="69"/>
        <v>-1.4709357924099999</v>
      </c>
      <c r="X62" s="363"/>
      <c r="Y62" s="347">
        <f>T62*Y60</f>
        <v>1080.4653067004999</v>
      </c>
      <c r="Z62" s="347">
        <f>U62*Z60</f>
        <v>2058.713060432106</v>
      </c>
      <c r="AA62" s="347">
        <f>V62*AA60</f>
        <v>1273.968454110777</v>
      </c>
      <c r="AB62" s="347">
        <f>W62*AB60</f>
        <v>-1751.0755140744845</v>
      </c>
      <c r="AC62" s="394">
        <f>SUM(Z62:AB62)</f>
        <v>1581.6060004683982</v>
      </c>
    </row>
    <row r="63" spans="1:29" s="12" customFormat="1">
      <c r="A63" s="308">
        <v>45496</v>
      </c>
      <c r="B63" s="358">
        <v>63</v>
      </c>
      <c r="C63" s="356" t="s">
        <v>88</v>
      </c>
      <c r="D63" s="356" t="s">
        <v>111</v>
      </c>
      <c r="E63" s="365">
        <v>2.97</v>
      </c>
      <c r="F63" s="365">
        <v>3.02</v>
      </c>
      <c r="G63" s="365">
        <v>3.08</v>
      </c>
      <c r="H63" s="365">
        <v>0.47</v>
      </c>
      <c r="I63" s="311"/>
      <c r="J63" s="308">
        <v>45496</v>
      </c>
      <c r="K63" s="358">
        <v>63</v>
      </c>
      <c r="L63" s="356" t="s">
        <v>88</v>
      </c>
      <c r="M63" s="356" t="s">
        <v>111</v>
      </c>
      <c r="N63" s="379">
        <v>2406096.83</v>
      </c>
      <c r="O63" s="369">
        <f t="shared" si="61"/>
        <v>2.4060968300000001</v>
      </c>
      <c r="P63" s="321">
        <f t="shared" si="62"/>
        <v>3.8192013174603176E-2</v>
      </c>
      <c r="Q63" s="316">
        <f t="shared" si="63"/>
        <v>2.5585230641805001</v>
      </c>
      <c r="R63" s="316">
        <f t="shared" si="64"/>
        <v>2.6086901830860003</v>
      </c>
      <c r="S63" s="316">
        <f t="shared" si="65"/>
        <v>0.40133695124400004</v>
      </c>
      <c r="T63" s="383">
        <f t="shared" si="66"/>
        <v>0.56390317000000012</v>
      </c>
      <c r="U63" s="383">
        <f t="shared" si="67"/>
        <v>2.9818079868253968</v>
      </c>
      <c r="V63" s="383">
        <f t="shared" si="68"/>
        <v>0.52147693581949994</v>
      </c>
      <c r="W63" s="383">
        <f t="shared" si="69"/>
        <v>-2.1386901830860001</v>
      </c>
      <c r="X63" s="363"/>
      <c r="Y63" s="347">
        <f>T63*Y60</f>
        <v>471.53019172230012</v>
      </c>
      <c r="Z63" s="347">
        <f>U63*Z60</f>
        <v>1959.7038451013873</v>
      </c>
      <c r="AA63" s="347">
        <f>V63*AA60</f>
        <v>516.210018767723</v>
      </c>
      <c r="AB63" s="347">
        <f>W63*AB60</f>
        <v>-2546.0037284547288</v>
      </c>
      <c r="AC63" s="394">
        <f t="shared" ref="AC63:AC67" si="70">SUM(Z63:AB63)</f>
        <v>-70.08986458561867</v>
      </c>
    </row>
    <row r="64" spans="1:29" s="12" customFormat="1">
      <c r="A64" s="308">
        <v>45568</v>
      </c>
      <c r="B64" s="358">
        <v>63</v>
      </c>
      <c r="C64" s="356" t="s">
        <v>89</v>
      </c>
      <c r="D64" s="356" t="s">
        <v>112</v>
      </c>
      <c r="E64" s="365">
        <v>2.65</v>
      </c>
      <c r="F64" s="365">
        <v>2.68</v>
      </c>
      <c r="G64" s="365">
        <v>2.73</v>
      </c>
      <c r="H64" s="365">
        <v>0.42</v>
      </c>
      <c r="I64" s="311"/>
      <c r="J64" s="308">
        <v>45568</v>
      </c>
      <c r="K64" s="358">
        <v>63</v>
      </c>
      <c r="L64" s="356" t="s">
        <v>89</v>
      </c>
      <c r="M64" s="356" t="s">
        <v>112</v>
      </c>
      <c r="N64" s="379">
        <v>2623935.4900000002</v>
      </c>
      <c r="O64" s="369">
        <f t="shared" si="61"/>
        <v>2.62393549</v>
      </c>
      <c r="P64" s="321">
        <f t="shared" si="62"/>
        <v>4.1649769682539681E-2</v>
      </c>
      <c r="Q64" s="316">
        <f t="shared" si="63"/>
        <v>2.7901618032914999</v>
      </c>
      <c r="R64" s="316">
        <f t="shared" si="64"/>
        <v>2.8448708582579996</v>
      </c>
      <c r="S64" s="316">
        <f t="shared" si="65"/>
        <v>0.43767243973200004</v>
      </c>
      <c r="T64" s="383">
        <f t="shared" si="66"/>
        <v>2.6064509999999874E-2</v>
      </c>
      <c r="U64" s="383">
        <f t="shared" si="67"/>
        <v>2.6383502303174606</v>
      </c>
      <c r="V64" s="383">
        <f t="shared" si="68"/>
        <v>-6.0161803291499893E-2</v>
      </c>
      <c r="W64" s="383">
        <f t="shared" si="69"/>
        <v>-2.4248708582579996</v>
      </c>
      <c r="X64" s="363"/>
      <c r="Y64" s="347">
        <f>T64*Y60</f>
        <v>21.794882616899898</v>
      </c>
      <c r="Z64" s="347">
        <f>U64*Z60</f>
        <v>1733.9765383692416</v>
      </c>
      <c r="AA64" s="347">
        <f>V64*AA60</f>
        <v>-59.554169078255747</v>
      </c>
      <c r="AB64" s="347">
        <f>W64*AB60</f>
        <v>-2886.6875132132359</v>
      </c>
      <c r="AC64" s="394">
        <f t="shared" ref="AC64" si="71">SUM(Z64:AB64)</f>
        <v>-1212.26514392225</v>
      </c>
    </row>
    <row r="65" spans="1:29" s="13" customFormat="1">
      <c r="A65" s="308">
        <v>45645</v>
      </c>
      <c r="B65" s="358">
        <v>63</v>
      </c>
      <c r="C65" s="356" t="s">
        <v>90</v>
      </c>
      <c r="D65" s="356" t="s">
        <v>113</v>
      </c>
      <c r="E65" s="365">
        <v>2.65</v>
      </c>
      <c r="F65" s="365">
        <v>2.68</v>
      </c>
      <c r="G65" s="309">
        <v>2.73</v>
      </c>
      <c r="H65" s="365">
        <v>0.42</v>
      </c>
      <c r="I65" s="311"/>
      <c r="J65" s="308">
        <v>45645</v>
      </c>
      <c r="K65" s="358">
        <v>63</v>
      </c>
      <c r="L65" s="356" t="s">
        <v>90</v>
      </c>
      <c r="M65" s="356" t="s">
        <v>113</v>
      </c>
      <c r="N65" s="379">
        <v>3346494.61</v>
      </c>
      <c r="O65" s="369">
        <f t="shared" si="61"/>
        <v>3.3464946099999997</v>
      </c>
      <c r="P65" s="321">
        <f t="shared" si="62"/>
        <v>5.3118962063492065E-2</v>
      </c>
      <c r="Q65" s="316">
        <f t="shared" si="63"/>
        <v>3.5584950435434997</v>
      </c>
      <c r="R65" s="316">
        <f t="shared" si="64"/>
        <v>3.6282694561619997</v>
      </c>
      <c r="S65" s="316">
        <f t="shared" si="65"/>
        <v>0.55819530094799996</v>
      </c>
      <c r="T65" s="383">
        <f t="shared" si="66"/>
        <v>-0.69649460999999979</v>
      </c>
      <c r="U65" s="383">
        <f t="shared" si="67"/>
        <v>2.6268810379365082</v>
      </c>
      <c r="V65" s="383">
        <f t="shared" si="68"/>
        <v>-0.82849504354349968</v>
      </c>
      <c r="W65" s="383">
        <f t="shared" si="69"/>
        <v>-3.2082694561619998</v>
      </c>
      <c r="X65" s="363"/>
      <c r="Y65" s="347">
        <f>T64*Y60</f>
        <v>21.794882616899898</v>
      </c>
      <c r="Z65" s="347">
        <f>U64*Z60</f>
        <v>1733.9765383692416</v>
      </c>
      <c r="AA65" s="347">
        <f>V64*AA60</f>
        <v>-59.554169078255747</v>
      </c>
      <c r="AB65" s="347">
        <f>W64*AB60</f>
        <v>-2886.6875132132359</v>
      </c>
      <c r="AC65" s="394">
        <f t="shared" si="70"/>
        <v>-1212.26514392225</v>
      </c>
    </row>
    <row r="66" spans="1:29" s="12" customFormat="1">
      <c r="A66" s="308">
        <v>45708</v>
      </c>
      <c r="B66" s="358">
        <v>63</v>
      </c>
      <c r="C66" s="356" t="s">
        <v>91</v>
      </c>
      <c r="D66" s="356" t="s">
        <v>114</v>
      </c>
      <c r="E66" s="365">
        <v>2.4500000000000002</v>
      </c>
      <c r="F66" s="365">
        <v>2.4700000000000002</v>
      </c>
      <c r="G66" s="365">
        <v>2.52</v>
      </c>
      <c r="H66" s="365">
        <v>0.39</v>
      </c>
      <c r="I66" s="311"/>
      <c r="J66" s="308">
        <v>45708</v>
      </c>
      <c r="K66" s="358">
        <v>63</v>
      </c>
      <c r="L66" s="356" t="s">
        <v>91</v>
      </c>
      <c r="M66" s="356" t="s">
        <v>114</v>
      </c>
      <c r="N66" s="379">
        <v>3725066.62</v>
      </c>
      <c r="O66" s="369">
        <f t="shared" si="61"/>
        <v>3.7250666199999998</v>
      </c>
      <c r="P66" s="321">
        <f t="shared" si="62"/>
        <v>5.9128041587301589E-2</v>
      </c>
      <c r="Q66" s="316">
        <f t="shared" si="63"/>
        <v>3.9610495903770002</v>
      </c>
      <c r="R66" s="316">
        <f t="shared" si="64"/>
        <v>4.0387172294039999</v>
      </c>
      <c r="S66" s="316">
        <f t="shared" si="65"/>
        <v>0.62134111221599997</v>
      </c>
      <c r="T66" s="383">
        <f t="shared" si="66"/>
        <v>-1.2750666199999996</v>
      </c>
      <c r="U66" s="383">
        <f t="shared" si="67"/>
        <v>2.4108719584126987</v>
      </c>
      <c r="V66" s="383">
        <f t="shared" si="68"/>
        <v>-1.4410495903770002</v>
      </c>
      <c r="W66" s="383">
        <f t="shared" si="69"/>
        <v>-3.6487172294039998</v>
      </c>
      <c r="X66" s="363"/>
      <c r="Y66" s="347">
        <f>T65*Y60</f>
        <v>-582.40182793589986</v>
      </c>
      <c r="Z66" s="347">
        <f>U65*Z60</f>
        <v>1726.438755752632</v>
      </c>
      <c r="AA66" s="347">
        <f>V65*AA60</f>
        <v>-820.12724360371033</v>
      </c>
      <c r="AB66" s="347">
        <f>W65*AB60</f>
        <v>-3819.2843740880526</v>
      </c>
      <c r="AC66" s="394">
        <f t="shared" si="70"/>
        <v>-2912.9728619391308</v>
      </c>
    </row>
    <row r="67" spans="1:29" s="12" customFormat="1" ht="15.75" thickBot="1">
      <c r="A67" s="308">
        <v>45722</v>
      </c>
      <c r="B67" s="358">
        <v>44</v>
      </c>
      <c r="C67" s="356" t="s">
        <v>92</v>
      </c>
      <c r="D67" s="356" t="s">
        <v>115</v>
      </c>
      <c r="E67" s="365">
        <v>1.64</v>
      </c>
      <c r="F67" s="365">
        <v>1.64</v>
      </c>
      <c r="G67" s="365">
        <v>1.68</v>
      </c>
      <c r="H67" s="365">
        <v>0.26</v>
      </c>
      <c r="I67" s="311"/>
      <c r="J67" s="308">
        <v>45722</v>
      </c>
      <c r="K67" s="358">
        <v>44</v>
      </c>
      <c r="L67" s="356" t="s">
        <v>92</v>
      </c>
      <c r="M67" s="356" t="s">
        <v>115</v>
      </c>
      <c r="N67" s="379">
        <v>1800600.04</v>
      </c>
      <c r="O67" s="369">
        <f t="shared" si="61"/>
        <v>1.80060004</v>
      </c>
      <c r="P67" s="321">
        <f t="shared" si="62"/>
        <v>4.0922728181818177E-2</v>
      </c>
      <c r="Q67" s="316">
        <f t="shared" si="63"/>
        <v>1.9146680525339999</v>
      </c>
      <c r="R67" s="316">
        <f t="shared" si="64"/>
        <v>1.9522105633679998</v>
      </c>
      <c r="S67" s="316">
        <f t="shared" si="65"/>
        <v>0.30034008667199996</v>
      </c>
      <c r="T67" s="383">
        <f t="shared" si="66"/>
        <v>-0.16060004000000005</v>
      </c>
      <c r="U67" s="383">
        <f t="shared" si="67"/>
        <v>1.5990772718181818</v>
      </c>
      <c r="V67" s="383">
        <f t="shared" si="68"/>
        <v>-0.23466805253399992</v>
      </c>
      <c r="W67" s="383">
        <f t="shared" si="69"/>
        <v>-1.6922105633679998</v>
      </c>
      <c r="X67" s="318"/>
      <c r="Y67" s="395">
        <f>T66*Y60</f>
        <v>-1066.1979569777998</v>
      </c>
      <c r="Z67" s="395">
        <f>U66*Z60</f>
        <v>1584.4732685079939</v>
      </c>
      <c r="AA67" s="395">
        <f>V66*AA60</f>
        <v>-1426.4949895141924</v>
      </c>
      <c r="AB67" s="395">
        <f>W66*AB60</f>
        <v>-4343.6154257439921</v>
      </c>
      <c r="AC67" s="396">
        <f t="shared" si="70"/>
        <v>-4185.6371467501904</v>
      </c>
    </row>
    <row r="68" spans="1:29" ht="15.75" thickBot="1">
      <c r="E68" s="357">
        <f>SUM(E61:E67)</f>
        <v>15.48</v>
      </c>
      <c r="N68" s="382">
        <f>SUM(N61:N67)</f>
        <v>15782000.123870969</v>
      </c>
      <c r="O68" s="385">
        <f>SUM(O61:O67)</f>
        <v>15.782000123870969</v>
      </c>
      <c r="AC68" s="346">
        <f>SUM(AC61:AC67)</f>
        <v>-8148.4271834123319</v>
      </c>
    </row>
    <row r="71" spans="1:29" s="13" customFormat="1">
      <c r="A71" s="337"/>
      <c r="B71" s="337"/>
      <c r="C71" s="337"/>
      <c r="D71" s="337"/>
      <c r="E71" s="357"/>
      <c r="F71" s="337"/>
      <c r="G71" s="337"/>
      <c r="H71" s="337"/>
      <c r="I71" s="359"/>
      <c r="J71" s="337"/>
      <c r="K71" s="337"/>
      <c r="L71" s="337"/>
      <c r="M71" s="337"/>
      <c r="N71" s="337"/>
      <c r="O71" s="357"/>
      <c r="P71" s="370"/>
      <c r="Q71" s="337"/>
      <c r="R71" s="337"/>
      <c r="S71" s="337"/>
      <c r="T71" s="377"/>
      <c r="U71" s="337"/>
      <c r="V71" s="337"/>
      <c r="W71" s="337"/>
      <c r="X71" s="357"/>
      <c r="Y71" s="357"/>
      <c r="Z71" s="357"/>
      <c r="AA71" s="357"/>
      <c r="AB71" s="357"/>
      <c r="AC71" s="357"/>
    </row>
    <row r="72" spans="1:29" s="13" customFormat="1">
      <c r="A72" s="337"/>
      <c r="B72" s="337"/>
      <c r="C72" s="337"/>
      <c r="D72" s="337"/>
      <c r="E72" s="357"/>
      <c r="F72" s="337"/>
      <c r="G72" s="337"/>
      <c r="H72" s="337"/>
      <c r="I72" s="359"/>
      <c r="J72" s="337"/>
      <c r="K72" s="337"/>
      <c r="L72" s="337"/>
      <c r="M72" s="337"/>
      <c r="N72" s="337"/>
      <c r="O72" s="357"/>
      <c r="P72" s="370"/>
      <c r="Q72" s="337"/>
      <c r="R72" s="337"/>
      <c r="S72" s="337"/>
      <c r="T72" s="377"/>
      <c r="U72" s="337"/>
      <c r="V72" s="337"/>
      <c r="W72" s="337"/>
      <c r="X72" s="333"/>
      <c r="Y72" s="333"/>
      <c r="Z72" s="333"/>
      <c r="AA72" s="333"/>
      <c r="AB72" s="333"/>
      <c r="AC72" s="333"/>
    </row>
    <row r="73" spans="1:29" s="13" customFormat="1">
      <c r="A73" s="337"/>
      <c r="B73" s="337"/>
      <c r="C73" s="337"/>
      <c r="D73" s="337"/>
      <c r="E73" s="357"/>
      <c r="F73" s="337"/>
      <c r="G73" s="337"/>
      <c r="H73" s="337"/>
      <c r="I73" s="359"/>
      <c r="J73" s="337"/>
      <c r="K73" s="337"/>
      <c r="L73" s="337"/>
      <c r="M73" s="337"/>
      <c r="N73" s="337"/>
      <c r="O73" s="357"/>
      <c r="P73" s="370"/>
      <c r="Q73" s="337"/>
      <c r="R73" s="337"/>
      <c r="S73" s="337"/>
      <c r="T73" s="377"/>
      <c r="U73" s="337"/>
      <c r="V73" s="337"/>
      <c r="W73" s="337"/>
      <c r="X73" s="333"/>
      <c r="Y73" s="333"/>
      <c r="Z73" s="333"/>
      <c r="AA73" s="333"/>
      <c r="AB73" s="333"/>
      <c r="AC73" s="333"/>
    </row>
    <row r="74" spans="1:29" s="13" customFormat="1">
      <c r="A74" s="337"/>
      <c r="B74" s="337"/>
      <c r="C74" s="337"/>
      <c r="D74" s="337"/>
      <c r="E74" s="357"/>
      <c r="F74" s="337"/>
      <c r="G74" s="337"/>
      <c r="H74" s="337"/>
      <c r="I74" s="359"/>
      <c r="J74" s="337"/>
      <c r="K74" s="337"/>
      <c r="L74" s="337"/>
      <c r="M74" s="337"/>
      <c r="N74" s="337"/>
      <c r="O74" s="357"/>
      <c r="P74" s="370"/>
      <c r="Q74" s="337"/>
      <c r="R74" s="337"/>
      <c r="S74" s="337"/>
      <c r="T74" s="377"/>
      <c r="U74" s="337"/>
      <c r="V74" s="337"/>
      <c r="W74" s="337"/>
      <c r="X74" s="333"/>
      <c r="Y74" s="333"/>
      <c r="Z74" s="333"/>
      <c r="AA74" s="333"/>
      <c r="AB74" s="333"/>
      <c r="AC74" s="333"/>
    </row>
    <row r="75" spans="1:29">
      <c r="X75" s="333"/>
      <c r="Y75" s="333"/>
      <c r="Z75" s="333"/>
      <c r="AA75" s="333"/>
      <c r="AB75" s="333"/>
      <c r="AC75" s="333"/>
    </row>
    <row r="76" spans="1:29" s="13" customFormat="1">
      <c r="A76" s="337"/>
      <c r="B76" s="337"/>
      <c r="C76" s="337"/>
      <c r="D76" s="337"/>
      <c r="E76" s="357"/>
      <c r="F76" s="337"/>
      <c r="G76" s="337"/>
      <c r="H76" s="337"/>
      <c r="I76" s="359"/>
      <c r="J76" s="337"/>
      <c r="K76" s="337"/>
      <c r="L76" s="337"/>
      <c r="M76" s="337"/>
      <c r="N76" s="337"/>
      <c r="O76" s="357"/>
      <c r="P76" s="370"/>
      <c r="Q76" s="337"/>
      <c r="R76" s="337"/>
      <c r="S76" s="337"/>
      <c r="T76" s="377"/>
      <c r="U76" s="337"/>
      <c r="V76" s="337"/>
      <c r="W76" s="337"/>
      <c r="X76" s="357"/>
      <c r="Y76" s="357"/>
      <c r="Z76" s="357"/>
      <c r="AA76" s="357"/>
      <c r="AB76" s="357"/>
      <c r="AC76" s="357"/>
    </row>
    <row r="77" spans="1:29" s="13" customFormat="1">
      <c r="A77" s="337"/>
      <c r="B77" s="337"/>
      <c r="C77" s="337"/>
      <c r="D77" s="337"/>
      <c r="E77" s="357"/>
      <c r="F77" s="337"/>
      <c r="G77" s="337"/>
      <c r="H77" s="337"/>
      <c r="I77" s="359"/>
      <c r="J77" s="337"/>
      <c r="K77" s="337"/>
      <c r="L77" s="337"/>
      <c r="M77" s="337"/>
      <c r="N77" s="337"/>
      <c r="O77" s="357"/>
      <c r="P77" s="370"/>
      <c r="Q77" s="337"/>
      <c r="R77" s="337"/>
      <c r="S77" s="337"/>
      <c r="T77" s="377"/>
      <c r="U77" s="337"/>
      <c r="V77" s="337"/>
      <c r="W77" s="337"/>
      <c r="X77" s="333"/>
      <c r="Y77" s="333"/>
      <c r="Z77" s="333"/>
      <c r="AA77" s="333"/>
      <c r="AB77" s="333"/>
      <c r="AC77" s="333"/>
    </row>
    <row r="78" spans="1:29" s="12" customFormat="1">
      <c r="A78" s="337"/>
      <c r="B78" s="337"/>
      <c r="C78" s="337"/>
      <c r="D78" s="337"/>
      <c r="E78" s="357"/>
      <c r="F78" s="337"/>
      <c r="G78" s="337"/>
      <c r="H78" s="337"/>
      <c r="I78" s="359"/>
      <c r="J78" s="337"/>
      <c r="K78" s="337"/>
      <c r="L78" s="337"/>
      <c r="M78" s="337"/>
      <c r="N78" s="337"/>
      <c r="O78" s="357"/>
      <c r="P78" s="370"/>
      <c r="Q78" s="337"/>
      <c r="R78" s="337"/>
      <c r="S78" s="337"/>
      <c r="T78" s="377"/>
      <c r="U78" s="337"/>
      <c r="V78" s="337"/>
      <c r="W78" s="337"/>
      <c r="X78" s="333"/>
      <c r="Y78" s="333"/>
      <c r="Z78" s="333"/>
      <c r="AA78" s="333"/>
      <c r="AB78" s="333"/>
      <c r="AC78" s="333"/>
    </row>
    <row r="79" spans="1:29" s="14" customFormat="1">
      <c r="A79" s="337"/>
      <c r="B79" s="337"/>
      <c r="C79" s="337"/>
      <c r="D79" s="337"/>
      <c r="E79" s="357"/>
      <c r="F79" s="337"/>
      <c r="G79" s="337"/>
      <c r="H79" s="337"/>
      <c r="I79" s="359"/>
      <c r="J79" s="337"/>
      <c r="K79" s="337"/>
      <c r="L79" s="337"/>
      <c r="M79" s="337"/>
      <c r="N79" s="337"/>
      <c r="O79" s="357"/>
      <c r="P79" s="370"/>
      <c r="Q79" s="337"/>
      <c r="R79" s="337"/>
      <c r="S79" s="337"/>
      <c r="T79" s="377"/>
      <c r="U79" s="337"/>
      <c r="V79" s="337"/>
      <c r="W79" s="337"/>
      <c r="X79" s="357"/>
      <c r="Y79" s="357"/>
      <c r="Z79" s="357"/>
      <c r="AA79" s="357"/>
      <c r="AB79" s="357"/>
      <c r="AC79" s="357"/>
    </row>
    <row r="80" spans="1:29" s="14" customFormat="1">
      <c r="A80" s="337"/>
      <c r="B80" s="337"/>
      <c r="C80" s="337"/>
      <c r="D80" s="337"/>
      <c r="E80" s="357"/>
      <c r="F80" s="337"/>
      <c r="G80" s="337"/>
      <c r="H80" s="337"/>
      <c r="I80" s="359"/>
      <c r="J80" s="337"/>
      <c r="K80" s="337"/>
      <c r="L80" s="337"/>
      <c r="M80" s="337"/>
      <c r="N80" s="337"/>
      <c r="O80" s="357"/>
      <c r="P80" s="370"/>
      <c r="Q80" s="337"/>
      <c r="R80" s="337"/>
      <c r="S80" s="337"/>
      <c r="T80" s="377"/>
      <c r="U80" s="337"/>
      <c r="V80" s="337"/>
      <c r="W80" s="337"/>
      <c r="X80" s="357"/>
      <c r="Y80" s="357"/>
      <c r="Z80" s="357"/>
      <c r="AA80" s="357"/>
      <c r="AB80" s="357"/>
      <c r="AC80" s="357"/>
    </row>
  </sheetData>
  <mergeCells count="18">
    <mergeCell ref="A14:H14"/>
    <mergeCell ref="J14:W14"/>
    <mergeCell ref="X2:AC2"/>
    <mergeCell ref="X13:AC13"/>
    <mergeCell ref="A59:H59"/>
    <mergeCell ref="J59:W59"/>
    <mergeCell ref="A25:H25"/>
    <mergeCell ref="J25:W25"/>
    <mergeCell ref="A37:H37"/>
    <mergeCell ref="J37:W37"/>
    <mergeCell ref="A48:H48"/>
    <mergeCell ref="J48:W48"/>
    <mergeCell ref="X24:AC24"/>
    <mergeCell ref="X36:AC36"/>
    <mergeCell ref="X47:AC47"/>
    <mergeCell ref="X58:AC58"/>
    <mergeCell ref="A3:H3"/>
    <mergeCell ref="J3:W3"/>
  </mergeCells>
  <pageMargins left="0.7" right="0.7" top="0.75" bottom="0.75" header="0.3" footer="0.3"/>
  <pageSetup paperSize="1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A65" sqref="A65"/>
    </sheetView>
  </sheetViews>
  <sheetFormatPr defaultRowHeight="15"/>
  <cols>
    <col min="1" max="1" width="21.7109375" style="324" customWidth="1"/>
    <col min="2" max="2" width="12.7109375" style="357" customWidth="1"/>
    <col min="3" max="3" width="2.7109375" style="357" customWidth="1"/>
    <col min="4" max="4" width="21.7109375" style="324" customWidth="1"/>
    <col min="5" max="5" width="12.7109375" style="357" customWidth="1"/>
    <col min="6" max="6" width="2.7109375" style="357" customWidth="1"/>
    <col min="7" max="7" width="21.7109375" style="324" customWidth="1"/>
    <col min="8" max="8" width="12.7109375" style="357" customWidth="1"/>
  </cols>
  <sheetData>
    <row r="1" spans="1:8">
      <c r="A1" s="355"/>
      <c r="B1" s="358"/>
      <c r="C1" s="358"/>
      <c r="D1" s="355"/>
      <c r="E1" s="358"/>
      <c r="F1" s="358"/>
      <c r="G1" s="355" t="s">
        <v>247</v>
      </c>
      <c r="H1" s="358"/>
    </row>
    <row r="2" spans="1:8">
      <c r="A2" s="355"/>
      <c r="B2" s="358"/>
      <c r="C2" s="358"/>
      <c r="D2" s="355"/>
      <c r="E2" s="358"/>
      <c r="F2" s="358"/>
      <c r="G2" s="355"/>
      <c r="H2" s="358" t="s">
        <v>246</v>
      </c>
    </row>
    <row r="3" spans="1:8">
      <c r="A3" s="355"/>
      <c r="B3" s="323"/>
      <c r="C3" s="358"/>
      <c r="D3" s="355"/>
      <c r="E3" s="323"/>
      <c r="F3" s="358"/>
      <c r="G3" s="355" t="s">
        <v>244</v>
      </c>
      <c r="H3" s="323">
        <v>848.52</v>
      </c>
    </row>
    <row r="4" spans="1:8">
      <c r="A4" s="355"/>
      <c r="B4" s="323"/>
      <c r="C4" s="358"/>
      <c r="D4" s="355"/>
      <c r="E4" s="323"/>
      <c r="F4" s="358"/>
      <c r="G4" s="355" t="s">
        <v>241</v>
      </c>
      <c r="H4" s="323">
        <v>514.42999999999995</v>
      </c>
    </row>
    <row r="5" spans="1:8">
      <c r="A5" s="355"/>
      <c r="B5" s="323"/>
      <c r="C5" s="358"/>
      <c r="D5" s="355"/>
      <c r="E5" s="323"/>
      <c r="F5" s="358"/>
      <c r="G5" s="355" t="s">
        <v>242</v>
      </c>
      <c r="H5" s="323">
        <v>744.33</v>
      </c>
    </row>
    <row r="6" spans="1:8">
      <c r="A6" s="355"/>
      <c r="B6" s="323"/>
      <c r="C6" s="358"/>
      <c r="D6" s="355"/>
      <c r="E6" s="323"/>
      <c r="F6" s="358"/>
      <c r="G6" s="355" t="s">
        <v>243</v>
      </c>
      <c r="H6" s="323">
        <v>1203.97</v>
      </c>
    </row>
    <row r="7" spans="1:8">
      <c r="A7" s="355"/>
      <c r="B7" s="323"/>
      <c r="C7" s="358"/>
      <c r="D7" s="355"/>
      <c r="E7" s="323"/>
      <c r="F7" s="358"/>
      <c r="G7" s="355" t="s">
        <v>245</v>
      </c>
      <c r="H7" s="323">
        <v>25332</v>
      </c>
    </row>
    <row r="8" spans="1:8">
      <c r="A8" s="355"/>
      <c r="B8" s="358"/>
      <c r="C8" s="358"/>
      <c r="D8" s="355"/>
      <c r="E8" s="358"/>
      <c r="F8" s="358"/>
      <c r="G8" s="355"/>
      <c r="H8" s="358"/>
    </row>
    <row r="9" spans="1:8">
      <c r="A9" s="355"/>
      <c r="B9" s="358"/>
      <c r="C9" s="358"/>
      <c r="D9" s="355" t="s">
        <v>248</v>
      </c>
      <c r="E9" s="358"/>
      <c r="F9" s="358"/>
      <c r="G9" s="355" t="s">
        <v>250</v>
      </c>
      <c r="H9" s="358"/>
    </row>
    <row r="10" spans="1:8">
      <c r="A10" s="355"/>
      <c r="B10" s="358"/>
      <c r="C10" s="358"/>
      <c r="D10" s="355"/>
      <c r="E10" s="358" t="s">
        <v>246</v>
      </c>
      <c r="F10" s="358"/>
      <c r="G10" s="355"/>
      <c r="H10" s="358" t="s">
        <v>246</v>
      </c>
    </row>
    <row r="11" spans="1:8">
      <c r="A11" s="355"/>
      <c r="B11" s="323"/>
      <c r="C11" s="358"/>
      <c r="D11" s="355" t="s">
        <v>244</v>
      </c>
      <c r="E11" s="323">
        <v>893.9</v>
      </c>
      <c r="F11" s="358"/>
      <c r="G11" s="355" t="s">
        <v>244</v>
      </c>
      <c r="H11" s="323">
        <v>880.93</v>
      </c>
    </row>
    <row r="12" spans="1:8">
      <c r="A12" s="355"/>
      <c r="B12" s="323"/>
      <c r="C12" s="358"/>
      <c r="D12" s="355" t="s">
        <v>241</v>
      </c>
      <c r="E12" s="323">
        <v>535.83000000000004</v>
      </c>
      <c r="F12" s="358"/>
      <c r="G12" s="355" t="s">
        <v>241</v>
      </c>
      <c r="H12" s="323">
        <v>558.19000000000005</v>
      </c>
    </row>
    <row r="13" spans="1:8">
      <c r="A13" s="355"/>
      <c r="B13" s="323"/>
      <c r="C13" s="358"/>
      <c r="D13" s="355" t="s">
        <v>242</v>
      </c>
      <c r="E13" s="323">
        <v>752.07</v>
      </c>
      <c r="F13" s="358"/>
      <c r="G13" s="355" t="s">
        <v>242</v>
      </c>
      <c r="H13" s="323">
        <v>772.78</v>
      </c>
    </row>
    <row r="14" spans="1:8">
      <c r="A14" s="355"/>
      <c r="B14" s="323"/>
      <c r="C14" s="358"/>
      <c r="D14" s="355" t="s">
        <v>243</v>
      </c>
      <c r="E14" s="323">
        <v>1195.3599999999999</v>
      </c>
      <c r="F14" s="358"/>
      <c r="G14" s="355" t="s">
        <v>243</v>
      </c>
      <c r="H14" s="323">
        <v>1176.78</v>
      </c>
    </row>
    <row r="15" spans="1:8">
      <c r="A15" s="355"/>
      <c r="B15" s="323"/>
      <c r="C15" s="358"/>
      <c r="D15" s="355" t="s">
        <v>245</v>
      </c>
      <c r="E15" s="323">
        <v>24908</v>
      </c>
      <c r="F15" s="358"/>
      <c r="G15" s="355" t="s">
        <v>245</v>
      </c>
      <c r="H15" s="323">
        <v>27004</v>
      </c>
    </row>
    <row r="16" spans="1:8">
      <c r="A16" s="355"/>
      <c r="B16" s="358"/>
      <c r="C16" s="358"/>
      <c r="D16" s="355"/>
      <c r="E16" s="358"/>
      <c r="F16" s="358"/>
      <c r="G16" s="355"/>
      <c r="H16" s="358"/>
    </row>
    <row r="17" spans="1:8">
      <c r="A17" s="355" t="s">
        <v>249</v>
      </c>
      <c r="B17" s="358"/>
      <c r="C17" s="358"/>
      <c r="D17" s="355" t="s">
        <v>252</v>
      </c>
      <c r="E17" s="358"/>
      <c r="F17" s="358"/>
      <c r="G17" s="355" t="s">
        <v>253</v>
      </c>
      <c r="H17" s="358"/>
    </row>
    <row r="18" spans="1:8">
      <c r="A18" s="355"/>
      <c r="B18" s="358" t="s">
        <v>246</v>
      </c>
      <c r="C18" s="358"/>
      <c r="D18" s="355"/>
      <c r="E18" s="358" t="s">
        <v>246</v>
      </c>
      <c r="F18" s="358"/>
      <c r="G18" s="355"/>
      <c r="H18" s="358" t="s">
        <v>246</v>
      </c>
    </row>
    <row r="19" spans="1:8">
      <c r="A19" s="355" t="s">
        <v>244</v>
      </c>
      <c r="B19" s="323">
        <v>929.42</v>
      </c>
      <c r="C19" s="358"/>
      <c r="D19" s="355" t="s">
        <v>244</v>
      </c>
      <c r="E19" s="323">
        <v>921.82</v>
      </c>
      <c r="F19" s="358"/>
      <c r="G19" s="355" t="s">
        <v>244</v>
      </c>
      <c r="H19" s="323">
        <v>908.52</v>
      </c>
    </row>
    <row r="20" spans="1:8">
      <c r="A20" s="355" t="s">
        <v>241</v>
      </c>
      <c r="B20" s="323">
        <v>529.78</v>
      </c>
      <c r="C20" s="358"/>
      <c r="D20" s="355" t="s">
        <v>241</v>
      </c>
      <c r="E20" s="323">
        <v>555.08000000000004</v>
      </c>
      <c r="F20" s="358"/>
      <c r="G20" s="355" t="s">
        <v>241</v>
      </c>
      <c r="H20" s="323">
        <v>576.44000000000005</v>
      </c>
    </row>
    <row r="21" spans="1:8">
      <c r="A21" s="355" t="s">
        <v>242</v>
      </c>
      <c r="B21" s="323">
        <v>762.49</v>
      </c>
      <c r="C21" s="358"/>
      <c r="D21" s="355" t="s">
        <v>242</v>
      </c>
      <c r="E21" s="323">
        <v>786.58</v>
      </c>
      <c r="F21" s="358"/>
      <c r="G21" s="355" t="s">
        <v>242</v>
      </c>
      <c r="H21" s="323">
        <v>806.48</v>
      </c>
    </row>
    <row r="22" spans="1:8">
      <c r="A22" s="355" t="s">
        <v>243</v>
      </c>
      <c r="B22" s="323">
        <v>1172.31</v>
      </c>
      <c r="C22" s="358"/>
      <c r="D22" s="355" t="s">
        <v>243</v>
      </c>
      <c r="E22" s="323">
        <v>1159.3</v>
      </c>
      <c r="F22" s="358"/>
      <c r="G22" s="355" t="s">
        <v>243</v>
      </c>
      <c r="H22" s="323">
        <v>1173.3599999999999</v>
      </c>
    </row>
    <row r="23" spans="1:8">
      <c r="A23" s="355" t="s">
        <v>245</v>
      </c>
      <c r="B23" s="323">
        <v>25056</v>
      </c>
      <c r="C23" s="358"/>
      <c r="D23" s="355" t="s">
        <v>245</v>
      </c>
      <c r="E23" s="323">
        <v>27496</v>
      </c>
      <c r="F23" s="358"/>
      <c r="G23" s="355" t="s">
        <v>245</v>
      </c>
      <c r="H23" s="323">
        <v>28292</v>
      </c>
    </row>
    <row r="24" spans="1:8">
      <c r="A24" s="355"/>
      <c r="B24" s="358"/>
      <c r="C24" s="358"/>
      <c r="D24" s="355"/>
      <c r="E24" s="358"/>
      <c r="F24" s="358"/>
      <c r="G24" s="355"/>
      <c r="H24" s="358"/>
    </row>
    <row r="25" spans="1:8">
      <c r="A25" s="355" t="s">
        <v>251</v>
      </c>
      <c r="B25" s="358"/>
      <c r="C25" s="358"/>
      <c r="D25" s="355" t="s">
        <v>254</v>
      </c>
      <c r="E25" s="358"/>
      <c r="F25" s="358"/>
      <c r="G25" s="355" t="s">
        <v>255</v>
      </c>
      <c r="H25" s="358"/>
    </row>
    <row r="26" spans="1:8">
      <c r="A26" s="355"/>
      <c r="B26" s="358" t="s">
        <v>246</v>
      </c>
      <c r="C26" s="358"/>
      <c r="D26" s="355"/>
      <c r="E26" s="358" t="s">
        <v>246</v>
      </c>
      <c r="F26" s="358"/>
      <c r="G26" s="355"/>
      <c r="H26" s="358" t="s">
        <v>246</v>
      </c>
    </row>
    <row r="27" spans="1:8">
      <c r="A27" s="355" t="s">
        <v>244</v>
      </c>
      <c r="B27" s="323">
        <v>955.01</v>
      </c>
      <c r="C27" s="358"/>
      <c r="D27" s="355" t="s">
        <v>244</v>
      </c>
      <c r="E27" s="323">
        <v>951.13</v>
      </c>
      <c r="F27" s="358"/>
      <c r="G27" s="355" t="s">
        <v>244</v>
      </c>
      <c r="H27" s="323">
        <v>979.89</v>
      </c>
    </row>
    <row r="28" spans="1:8">
      <c r="A28" s="355" t="s">
        <v>241</v>
      </c>
      <c r="B28" s="323">
        <v>565.20000000000005</v>
      </c>
      <c r="C28" s="358"/>
      <c r="D28" s="355" t="s">
        <v>241</v>
      </c>
      <c r="E28" s="323">
        <v>583.42999999999995</v>
      </c>
      <c r="F28" s="358"/>
      <c r="G28" s="355" t="s">
        <v>241</v>
      </c>
      <c r="H28" s="323">
        <v>599.15</v>
      </c>
    </row>
    <row r="29" spans="1:8">
      <c r="A29" s="355" t="s">
        <v>242</v>
      </c>
      <c r="B29" s="323">
        <v>777.08</v>
      </c>
      <c r="C29" s="358"/>
      <c r="D29" s="355" t="s">
        <v>242</v>
      </c>
      <c r="E29" s="323">
        <v>797.7</v>
      </c>
      <c r="F29" s="358"/>
      <c r="G29" s="355" t="s">
        <v>242</v>
      </c>
      <c r="H29" s="323">
        <v>809.96</v>
      </c>
    </row>
    <row r="30" spans="1:8">
      <c r="A30" s="355" t="s">
        <v>243</v>
      </c>
      <c r="B30" s="323">
        <v>1152.21</v>
      </c>
      <c r="C30" s="358"/>
      <c r="D30" s="355" t="s">
        <v>243</v>
      </c>
      <c r="E30" s="323">
        <v>1159.58</v>
      </c>
      <c r="F30" s="358"/>
      <c r="G30" s="355" t="s">
        <v>243</v>
      </c>
      <c r="H30" s="323">
        <v>1172.08</v>
      </c>
    </row>
    <row r="31" spans="1:8">
      <c r="A31" s="355" t="s">
        <v>245</v>
      </c>
      <c r="B31" s="323">
        <v>27255</v>
      </c>
      <c r="C31" s="358"/>
      <c r="D31" s="355" t="s">
        <v>245</v>
      </c>
      <c r="E31" s="323">
        <v>27898</v>
      </c>
      <c r="F31" s="358"/>
      <c r="G31" s="355" t="s">
        <v>245</v>
      </c>
      <c r="H31" s="323">
        <v>26984</v>
      </c>
    </row>
    <row r="32" spans="1:8">
      <c r="A32" s="355"/>
      <c r="B32" s="358"/>
      <c r="C32" s="358"/>
      <c r="D32" s="355"/>
      <c r="E32" s="358"/>
      <c r="F32" s="358"/>
      <c r="G32" s="355"/>
      <c r="H32" s="358"/>
    </row>
    <row r="33" spans="1:8">
      <c r="A33" s="355" t="s">
        <v>256</v>
      </c>
      <c r="B33" s="358"/>
      <c r="C33" s="358"/>
      <c r="D33" s="355" t="s">
        <v>257</v>
      </c>
      <c r="E33" s="358"/>
      <c r="F33" s="358"/>
      <c r="G33" s="355" t="s">
        <v>258</v>
      </c>
      <c r="H33" s="358"/>
    </row>
    <row r="34" spans="1:8">
      <c r="A34" s="355"/>
      <c r="B34" s="358" t="s">
        <v>246</v>
      </c>
      <c r="C34" s="358"/>
      <c r="D34" s="355"/>
      <c r="E34" s="358" t="s">
        <v>246</v>
      </c>
      <c r="F34" s="358"/>
      <c r="G34" s="355"/>
      <c r="H34" s="358" t="s">
        <v>246</v>
      </c>
    </row>
    <row r="35" spans="1:8">
      <c r="A35" s="355" t="s">
        <v>244</v>
      </c>
      <c r="B35" s="323">
        <v>926.28</v>
      </c>
      <c r="C35" s="358"/>
      <c r="D35" s="355" t="s">
        <v>244</v>
      </c>
      <c r="E35" s="323">
        <v>961.24</v>
      </c>
      <c r="F35" s="358"/>
      <c r="G35" s="355" t="s">
        <v>244</v>
      </c>
      <c r="H35" s="323">
        <v>885.85</v>
      </c>
    </row>
    <row r="36" spans="1:8">
      <c r="A36" s="355" t="s">
        <v>241</v>
      </c>
      <c r="B36" s="323">
        <v>556.16</v>
      </c>
      <c r="C36" s="358"/>
      <c r="D36" s="355" t="s">
        <v>241</v>
      </c>
      <c r="E36" s="323">
        <v>573.41999999999996</v>
      </c>
      <c r="F36" s="358"/>
      <c r="G36" s="355" t="s">
        <v>241</v>
      </c>
      <c r="H36" s="323">
        <v>610.9</v>
      </c>
    </row>
    <row r="37" spans="1:8">
      <c r="A37" s="355" t="s">
        <v>242</v>
      </c>
      <c r="B37" s="323">
        <v>767.06</v>
      </c>
      <c r="C37" s="358"/>
      <c r="D37" s="355" t="s">
        <v>242</v>
      </c>
      <c r="E37" s="323">
        <v>777.86</v>
      </c>
      <c r="F37" s="358"/>
      <c r="G37" s="355" t="s">
        <v>242</v>
      </c>
      <c r="H37" s="323">
        <v>801.55</v>
      </c>
    </row>
    <row r="38" spans="1:8">
      <c r="A38" s="355" t="s">
        <v>243</v>
      </c>
      <c r="B38" s="323">
        <v>1129.42</v>
      </c>
      <c r="C38" s="358"/>
      <c r="D38" s="355" t="s">
        <v>243</v>
      </c>
      <c r="E38" s="323">
        <v>1137.48</v>
      </c>
      <c r="F38" s="358"/>
      <c r="G38" s="355" t="s">
        <v>243</v>
      </c>
      <c r="H38" s="323">
        <v>1104.47</v>
      </c>
    </row>
    <row r="39" spans="1:8">
      <c r="A39" s="355" t="s">
        <v>245</v>
      </c>
      <c r="B39" s="323">
        <v>27806</v>
      </c>
      <c r="C39" s="358"/>
      <c r="D39" s="355" t="s">
        <v>245</v>
      </c>
      <c r="E39" s="323">
        <v>27029</v>
      </c>
      <c r="F39" s="358"/>
      <c r="G39" s="355" t="s">
        <v>245</v>
      </c>
      <c r="H39" s="323">
        <v>22057</v>
      </c>
    </row>
    <row r="40" spans="1:8">
      <c r="A40" s="355"/>
      <c r="B40" s="358"/>
      <c r="C40" s="358"/>
      <c r="D40" s="355"/>
      <c r="E40" s="358"/>
      <c r="F40" s="358"/>
      <c r="G40" s="355"/>
      <c r="H40" s="358"/>
    </row>
    <row r="41" spans="1:8">
      <c r="A41" s="355" t="s">
        <v>259</v>
      </c>
      <c r="B41" s="358"/>
      <c r="C41" s="358"/>
      <c r="D41" s="355" t="s">
        <v>260</v>
      </c>
      <c r="E41" s="358"/>
      <c r="F41" s="358"/>
      <c r="G41" s="355" t="s">
        <v>261</v>
      </c>
      <c r="H41" s="358"/>
    </row>
    <row r="42" spans="1:8">
      <c r="A42" s="355"/>
      <c r="B42" s="358" t="s">
        <v>246</v>
      </c>
      <c r="C42" s="358"/>
      <c r="D42" s="355"/>
      <c r="E42" s="358" t="s">
        <v>246</v>
      </c>
      <c r="F42" s="358"/>
      <c r="G42" s="355"/>
      <c r="H42" s="358" t="s">
        <v>246</v>
      </c>
    </row>
    <row r="43" spans="1:8">
      <c r="A43" s="355" t="s">
        <v>244</v>
      </c>
      <c r="B43" s="323">
        <v>991.22</v>
      </c>
      <c r="C43" s="358"/>
      <c r="D43" s="355" t="s">
        <v>244</v>
      </c>
      <c r="E43" s="323">
        <v>918.28</v>
      </c>
      <c r="F43" s="358"/>
      <c r="G43" s="355" t="s">
        <v>244</v>
      </c>
      <c r="H43" s="323">
        <v>864.01</v>
      </c>
    </row>
    <row r="44" spans="1:8">
      <c r="A44" s="355" t="s">
        <v>241</v>
      </c>
      <c r="B44" s="323">
        <v>551.04999999999995</v>
      </c>
      <c r="C44" s="358"/>
      <c r="D44" s="355" t="s">
        <v>241</v>
      </c>
      <c r="E44" s="323">
        <v>590.61</v>
      </c>
      <c r="F44" s="358"/>
      <c r="G44" s="355" t="s">
        <v>241</v>
      </c>
      <c r="H44" s="323">
        <v>605.27</v>
      </c>
    </row>
    <row r="45" spans="1:8">
      <c r="A45" s="355" t="s">
        <v>242</v>
      </c>
      <c r="B45" s="323">
        <v>802.31</v>
      </c>
      <c r="C45" s="358"/>
      <c r="D45" s="355" t="s">
        <v>242</v>
      </c>
      <c r="E45" s="323">
        <v>832.79</v>
      </c>
      <c r="F45" s="358"/>
      <c r="G45" s="355" t="s">
        <v>242</v>
      </c>
      <c r="H45" s="323">
        <v>893.23</v>
      </c>
    </row>
    <row r="46" spans="1:8">
      <c r="A46" s="355" t="s">
        <v>243</v>
      </c>
      <c r="B46" s="323">
        <v>1174.8599999999999</v>
      </c>
      <c r="C46" s="358"/>
      <c r="D46" s="355" t="s">
        <v>243</v>
      </c>
      <c r="E46" s="323">
        <v>1116.72</v>
      </c>
      <c r="F46" s="358"/>
      <c r="G46" s="355" t="s">
        <v>243</v>
      </c>
      <c r="H46" s="323">
        <v>1106.8900000000001</v>
      </c>
    </row>
    <row r="47" spans="1:8">
      <c r="A47" s="355" t="s">
        <v>245</v>
      </c>
      <c r="B47" s="323">
        <v>26505</v>
      </c>
      <c r="C47" s="358"/>
      <c r="D47" s="355" t="s">
        <v>245</v>
      </c>
      <c r="E47" s="323">
        <v>21641</v>
      </c>
      <c r="F47" s="358"/>
      <c r="G47" s="355" t="s">
        <v>245</v>
      </c>
      <c r="H47" s="323">
        <v>22322</v>
      </c>
    </row>
    <row r="48" spans="1:8">
      <c r="A48" s="355"/>
      <c r="B48" s="358"/>
      <c r="C48" s="358"/>
      <c r="D48" s="355"/>
      <c r="E48" s="358"/>
      <c r="F48" s="358"/>
      <c r="G48" s="355"/>
      <c r="H48" s="358"/>
    </row>
    <row r="49" spans="1:8">
      <c r="A49" s="355" t="s">
        <v>262</v>
      </c>
      <c r="B49" s="358"/>
      <c r="C49" s="358"/>
      <c r="D49" s="355" t="s">
        <v>263</v>
      </c>
      <c r="E49" s="358"/>
      <c r="F49" s="358"/>
      <c r="G49" s="355" t="s">
        <v>264</v>
      </c>
      <c r="H49" s="358"/>
    </row>
    <row r="50" spans="1:8">
      <c r="A50" s="355"/>
      <c r="B50" s="358" t="s">
        <v>246</v>
      </c>
      <c r="C50" s="358"/>
      <c r="D50" s="355"/>
      <c r="E50" s="358" t="s">
        <v>246</v>
      </c>
      <c r="F50" s="358"/>
      <c r="G50" s="355"/>
      <c r="H50" s="358" t="s">
        <v>246</v>
      </c>
    </row>
    <row r="51" spans="1:8">
      <c r="A51" s="355" t="s">
        <v>244</v>
      </c>
      <c r="B51" s="323">
        <v>874.85</v>
      </c>
      <c r="C51" s="358"/>
      <c r="D51" s="355" t="s">
        <v>244</v>
      </c>
      <c r="E51" s="323">
        <v>830.77</v>
      </c>
      <c r="F51" s="358"/>
      <c r="G51" s="355" t="s">
        <v>244</v>
      </c>
      <c r="H51" s="323">
        <v>858.54</v>
      </c>
    </row>
    <row r="52" spans="1:8">
      <c r="A52" s="355" t="s">
        <v>241</v>
      </c>
      <c r="B52" s="323">
        <v>621.80999999999995</v>
      </c>
      <c r="C52" s="358"/>
      <c r="D52" s="355" t="s">
        <v>241</v>
      </c>
      <c r="E52" s="323">
        <v>637.59</v>
      </c>
      <c r="F52" s="358"/>
      <c r="G52" s="355" t="s">
        <v>241</v>
      </c>
      <c r="H52" s="323">
        <v>679.21</v>
      </c>
    </row>
    <row r="53" spans="1:8">
      <c r="A53" s="355" t="s">
        <v>242</v>
      </c>
      <c r="B53" s="323">
        <v>813.3</v>
      </c>
      <c r="C53" s="358"/>
      <c r="D53" s="355" t="s">
        <v>242</v>
      </c>
      <c r="E53" s="323">
        <v>880.49</v>
      </c>
      <c r="F53" s="358"/>
      <c r="G53" s="355" t="s">
        <v>242</v>
      </c>
      <c r="H53" s="323">
        <v>920.06</v>
      </c>
    </row>
    <row r="54" spans="1:8">
      <c r="A54" s="355" t="s">
        <v>243</v>
      </c>
      <c r="B54" s="323">
        <v>1128.01</v>
      </c>
      <c r="C54" s="358"/>
      <c r="D54" s="355" t="s">
        <v>243</v>
      </c>
      <c r="E54" s="323">
        <v>1128.24</v>
      </c>
      <c r="F54" s="358"/>
      <c r="G54" s="355" t="s">
        <v>243</v>
      </c>
      <c r="H54" s="323">
        <v>1148.73</v>
      </c>
    </row>
    <row r="55" spans="1:8">
      <c r="A55" s="355" t="s">
        <v>245</v>
      </c>
      <c r="B55" s="323">
        <v>21641</v>
      </c>
      <c r="C55" s="358"/>
      <c r="D55" s="355" t="s">
        <v>245</v>
      </c>
      <c r="E55" s="323">
        <v>22322</v>
      </c>
      <c r="F55" s="358"/>
      <c r="G55" s="355" t="s">
        <v>245</v>
      </c>
      <c r="H55" s="323">
        <v>23438</v>
      </c>
    </row>
    <row r="56" spans="1:8">
      <c r="A56" s="355"/>
      <c r="B56" s="358"/>
      <c r="C56" s="358"/>
      <c r="D56" s="355"/>
      <c r="E56" s="358"/>
      <c r="F56" s="358"/>
      <c r="G56" s="355"/>
      <c r="H56" s="358"/>
    </row>
    <row r="57" spans="1:8">
      <c r="A57" s="355" t="s">
        <v>265</v>
      </c>
      <c r="B57" s="358"/>
      <c r="C57" s="358"/>
      <c r="D57" s="355" t="s">
        <v>266</v>
      </c>
      <c r="E57" s="358"/>
      <c r="F57" s="358"/>
      <c r="G57" s="355" t="s">
        <v>267</v>
      </c>
      <c r="H57" s="358"/>
    </row>
    <row r="58" spans="1:8">
      <c r="A58" s="355"/>
      <c r="B58" s="358" t="s">
        <v>246</v>
      </c>
      <c r="C58" s="358"/>
      <c r="D58" s="355"/>
      <c r="E58" s="358" t="s">
        <v>246</v>
      </c>
      <c r="F58" s="358"/>
      <c r="G58" s="355"/>
      <c r="H58" s="358" t="s">
        <v>246</v>
      </c>
    </row>
    <row r="59" spans="1:8">
      <c r="A59" s="355" t="s">
        <v>244</v>
      </c>
      <c r="B59" s="323">
        <v>857.35</v>
      </c>
      <c r="C59" s="358"/>
      <c r="D59" s="355" t="s">
        <v>244</v>
      </c>
      <c r="E59" s="323">
        <v>878.78</v>
      </c>
      <c r="F59" s="358"/>
      <c r="G59" s="355" t="s">
        <v>244</v>
      </c>
      <c r="H59" s="323">
        <v>0</v>
      </c>
    </row>
    <row r="60" spans="1:8">
      <c r="A60" s="355" t="s">
        <v>241</v>
      </c>
      <c r="B60" s="323">
        <v>651.04</v>
      </c>
      <c r="C60" s="358"/>
      <c r="D60" s="355" t="s">
        <v>241</v>
      </c>
      <c r="E60" s="323">
        <v>688.4</v>
      </c>
      <c r="F60" s="358"/>
      <c r="G60" s="355" t="s">
        <v>241</v>
      </c>
      <c r="H60" s="323">
        <v>0</v>
      </c>
    </row>
    <row r="61" spans="1:8">
      <c r="A61" s="355" t="s">
        <v>242</v>
      </c>
      <c r="B61" s="323">
        <v>906.62</v>
      </c>
      <c r="C61" s="358"/>
      <c r="D61" s="355" t="s">
        <v>242</v>
      </c>
      <c r="E61" s="323">
        <v>945.16</v>
      </c>
      <c r="F61" s="358"/>
      <c r="G61" s="355" t="s">
        <v>242</v>
      </c>
      <c r="H61" s="323">
        <v>0</v>
      </c>
    </row>
    <row r="62" spans="1:8">
      <c r="A62" s="355" t="s">
        <v>243</v>
      </c>
      <c r="B62" s="323">
        <v>1157.95</v>
      </c>
      <c r="C62" s="358"/>
      <c r="D62" s="355" t="s">
        <v>243</v>
      </c>
      <c r="E62" s="323">
        <v>1168.77</v>
      </c>
      <c r="F62" s="358"/>
      <c r="G62" s="355" t="s">
        <v>243</v>
      </c>
      <c r="H62" s="323">
        <v>0</v>
      </c>
    </row>
    <row r="63" spans="1:8">
      <c r="A63" s="355" t="s">
        <v>245</v>
      </c>
      <c r="B63" s="323">
        <v>22322</v>
      </c>
      <c r="C63" s="358"/>
      <c r="D63" s="355" t="s">
        <v>245</v>
      </c>
      <c r="E63" s="323">
        <v>23438</v>
      </c>
      <c r="F63" s="358"/>
      <c r="G63" s="355" t="s">
        <v>245</v>
      </c>
      <c r="H63" s="323">
        <v>0</v>
      </c>
    </row>
    <row r="64" spans="1:8">
      <c r="A64" s="355"/>
      <c r="B64" s="358"/>
      <c r="C64" s="358"/>
      <c r="D64" s="355"/>
      <c r="E64" s="358"/>
      <c r="F64" s="358"/>
      <c r="G64" s="355"/>
      <c r="H64" s="358"/>
    </row>
    <row r="65" spans="1:8">
      <c r="A65" s="355" t="s">
        <v>268</v>
      </c>
      <c r="B65" s="358"/>
      <c r="C65" s="358"/>
      <c r="D65" s="355" t="s">
        <v>269</v>
      </c>
      <c r="E65" s="358"/>
      <c r="F65" s="358"/>
      <c r="G65" s="355" t="s">
        <v>270</v>
      </c>
      <c r="H65" s="358"/>
    </row>
    <row r="66" spans="1:8">
      <c r="A66" s="355"/>
      <c r="B66" s="358" t="s">
        <v>246</v>
      </c>
      <c r="C66" s="358"/>
      <c r="D66" s="355"/>
      <c r="E66" s="358" t="s">
        <v>246</v>
      </c>
      <c r="F66" s="358"/>
      <c r="G66" s="355"/>
      <c r="H66" s="358" t="s">
        <v>246</v>
      </c>
    </row>
    <row r="67" spans="1:8">
      <c r="A67" s="355" t="s">
        <v>244</v>
      </c>
      <c r="B67" s="323">
        <v>836.19</v>
      </c>
      <c r="C67" s="358"/>
      <c r="D67" s="355" t="s">
        <v>244</v>
      </c>
      <c r="E67" s="323">
        <v>0</v>
      </c>
      <c r="F67" s="358"/>
      <c r="G67" s="355" t="s">
        <v>244</v>
      </c>
      <c r="H67" s="323">
        <v>0</v>
      </c>
    </row>
    <row r="68" spans="1:8">
      <c r="A68" s="355" t="s">
        <v>241</v>
      </c>
      <c r="B68" s="323">
        <v>657.22</v>
      </c>
      <c r="C68" s="358"/>
      <c r="D68" s="355" t="s">
        <v>241</v>
      </c>
      <c r="E68" s="323">
        <v>0</v>
      </c>
      <c r="F68" s="358"/>
      <c r="G68" s="355" t="s">
        <v>241</v>
      </c>
      <c r="H68" s="323">
        <v>0</v>
      </c>
    </row>
    <row r="69" spans="1:8">
      <c r="A69" s="355" t="s">
        <v>242</v>
      </c>
      <c r="B69" s="323">
        <v>989.9</v>
      </c>
      <c r="C69" s="358"/>
      <c r="D69" s="355" t="s">
        <v>242</v>
      </c>
      <c r="E69" s="323">
        <v>0</v>
      </c>
      <c r="F69" s="358"/>
      <c r="G69" s="355" t="s">
        <v>242</v>
      </c>
      <c r="H69" s="323">
        <v>0</v>
      </c>
    </row>
    <row r="70" spans="1:8">
      <c r="A70" s="355" t="s">
        <v>243</v>
      </c>
      <c r="B70" s="323">
        <v>1190.45</v>
      </c>
      <c r="C70" s="358"/>
      <c r="D70" s="355" t="s">
        <v>243</v>
      </c>
      <c r="E70" s="323">
        <v>0</v>
      </c>
      <c r="F70" s="358"/>
      <c r="G70" s="355" t="s">
        <v>243</v>
      </c>
      <c r="H70" s="323">
        <v>0</v>
      </c>
    </row>
    <row r="71" spans="1:8">
      <c r="A71" s="355" t="s">
        <v>245</v>
      </c>
      <c r="B71" s="323">
        <v>23438</v>
      </c>
      <c r="C71" s="358"/>
      <c r="D71" s="355" t="s">
        <v>245</v>
      </c>
      <c r="E71" s="323">
        <v>0</v>
      </c>
      <c r="F71" s="358"/>
      <c r="G71" s="355" t="s">
        <v>245</v>
      </c>
      <c r="H71" s="32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02"/>
  <sheetViews>
    <sheetView topLeftCell="F1" workbookViewId="0">
      <selection activeCell="W18" sqref="W18"/>
    </sheetView>
  </sheetViews>
  <sheetFormatPr defaultRowHeight="15"/>
  <cols>
    <col min="1" max="1" width="35.140625" style="5" customWidth="1"/>
    <col min="2" max="2" width="20.28515625" style="5" customWidth="1"/>
    <col min="3" max="3" width="25.7109375" style="5" customWidth="1"/>
    <col min="4" max="4" width="18.5703125" style="5" customWidth="1"/>
    <col min="5" max="5" width="9.140625" style="5"/>
    <col min="6" max="6" width="19.140625" style="5" customWidth="1"/>
    <col min="7" max="7" width="18.140625" style="5" customWidth="1"/>
    <col min="8" max="8" width="22.140625" style="5" customWidth="1"/>
    <col min="9" max="9" width="12" style="5" customWidth="1"/>
    <col min="10" max="10" width="11.5703125" style="4" customWidth="1"/>
    <col min="11" max="11" width="19.140625" style="4" customWidth="1"/>
    <col min="12" max="20" width="13.7109375" style="4" customWidth="1"/>
    <col min="21" max="21" width="15.28515625" style="5" customWidth="1"/>
    <col min="22" max="22" width="12.42578125" style="5" customWidth="1"/>
    <col min="23" max="23" width="13.28515625" customWidth="1"/>
  </cols>
  <sheetData>
    <row r="1" spans="1:24" ht="45">
      <c r="A1" s="3" t="s">
        <v>0</v>
      </c>
      <c r="B1" s="3" t="s">
        <v>1</v>
      </c>
      <c r="C1" s="3" t="s">
        <v>2</v>
      </c>
      <c r="D1" s="3" t="s">
        <v>14</v>
      </c>
      <c r="E1" s="3" t="s">
        <v>15</v>
      </c>
      <c r="F1" s="3" t="s">
        <v>3</v>
      </c>
      <c r="G1" s="3" t="s">
        <v>4</v>
      </c>
      <c r="H1" s="3" t="s">
        <v>5</v>
      </c>
      <c r="I1" s="3" t="s">
        <v>6</v>
      </c>
      <c r="J1" s="17"/>
      <c r="K1" s="19" t="s">
        <v>17</v>
      </c>
      <c r="L1" s="1" t="s">
        <v>18</v>
      </c>
      <c r="M1" s="1" t="s">
        <v>19</v>
      </c>
      <c r="N1" s="1" t="s">
        <v>20</v>
      </c>
      <c r="O1" s="1" t="s">
        <v>21</v>
      </c>
      <c r="P1" s="276" t="s">
        <v>22</v>
      </c>
      <c r="Q1" s="276" t="s">
        <v>23</v>
      </c>
      <c r="R1" s="276" t="s">
        <v>24</v>
      </c>
      <c r="S1" s="276" t="s">
        <v>25</v>
      </c>
      <c r="T1" s="276" t="s">
        <v>26</v>
      </c>
      <c r="U1" s="276" t="s">
        <v>99</v>
      </c>
      <c r="V1" s="1" t="s">
        <v>27</v>
      </c>
      <c r="W1" s="1" t="s">
        <v>29</v>
      </c>
      <c r="X1" s="3" t="s">
        <v>28</v>
      </c>
    </row>
    <row r="2" spans="1:24">
      <c r="A2" s="7" t="s">
        <v>13</v>
      </c>
      <c r="B2" s="6" t="s">
        <v>8</v>
      </c>
      <c r="C2" s="6" t="s">
        <v>11</v>
      </c>
      <c r="D2" s="6" t="s">
        <v>16</v>
      </c>
      <c r="E2" s="6">
        <v>143</v>
      </c>
      <c r="F2" s="6" t="s">
        <v>10</v>
      </c>
      <c r="G2" s="6" t="s">
        <v>12</v>
      </c>
      <c r="H2" s="6">
        <v>50</v>
      </c>
      <c r="I2" s="6" t="s">
        <v>9</v>
      </c>
      <c r="J2" s="16"/>
      <c r="K2" s="6">
        <f>K3+K4+K5+K6+K7+K8+K9</f>
        <v>12.969999999999999</v>
      </c>
      <c r="L2" s="16">
        <f t="shared" ref="L2:U2" si="0">L3+L4+L5+L6+L7+L8+L9</f>
        <v>12.41</v>
      </c>
      <c r="M2" s="16">
        <f t="shared" si="0"/>
        <v>14.729999999999999</v>
      </c>
      <c r="N2" s="16">
        <f t="shared" si="0"/>
        <v>21.45</v>
      </c>
      <c r="O2" s="16">
        <f t="shared" si="0"/>
        <v>18.73</v>
      </c>
      <c r="P2" s="89">
        <f t="shared" si="0"/>
        <v>22.43</v>
      </c>
      <c r="Q2" s="89">
        <f t="shared" si="0"/>
        <v>6.79</v>
      </c>
      <c r="R2" s="89">
        <f t="shared" si="0"/>
        <v>18.009999999999998</v>
      </c>
      <c r="S2" s="89">
        <f t="shared" si="0"/>
        <v>11.610000000000001</v>
      </c>
      <c r="T2" s="89">
        <f t="shared" si="0"/>
        <v>13.170000000000002</v>
      </c>
      <c r="U2" s="89">
        <f t="shared" si="0"/>
        <v>17.150000000000002</v>
      </c>
      <c r="V2" s="76">
        <f>(K2+L2+M2+N2+O2+P2+Q2+R2+S2+T2+U2)/11</f>
        <v>15.404545454545456</v>
      </c>
      <c r="W2" s="8">
        <f>V2*1000000</f>
        <v>15404545.454545457</v>
      </c>
      <c r="X2" s="8">
        <f>W2/365</f>
        <v>42204.234122042348</v>
      </c>
    </row>
    <row r="3" spans="1:24">
      <c r="J3" s="11" t="s">
        <v>65</v>
      </c>
      <c r="K3" s="16">
        <v>0.17</v>
      </c>
      <c r="L3" s="16">
        <v>0</v>
      </c>
      <c r="M3" s="16">
        <v>0</v>
      </c>
      <c r="N3" s="16"/>
      <c r="O3" s="16"/>
      <c r="P3" s="89">
        <v>0.34</v>
      </c>
      <c r="Q3" s="89">
        <v>0.02</v>
      </c>
      <c r="R3" s="89">
        <v>0.25</v>
      </c>
      <c r="S3" s="89">
        <v>3.2</v>
      </c>
      <c r="T3" s="89">
        <v>0.66</v>
      </c>
      <c r="U3" s="89">
        <v>1.68</v>
      </c>
      <c r="W3" s="5"/>
      <c r="X3" s="5"/>
    </row>
    <row r="4" spans="1:24" s="20" customFormat="1">
      <c r="J4" s="11" t="s">
        <v>66</v>
      </c>
      <c r="K4" s="16">
        <v>4.37</v>
      </c>
      <c r="L4" s="16">
        <v>4.1500000000000004</v>
      </c>
      <c r="M4" s="16">
        <v>4.4000000000000004</v>
      </c>
      <c r="N4" s="16">
        <v>3.83</v>
      </c>
      <c r="O4" s="16">
        <v>1.78</v>
      </c>
      <c r="P4" s="89">
        <v>4.87</v>
      </c>
      <c r="Q4" s="89">
        <v>4.4400000000000004</v>
      </c>
      <c r="R4" s="89">
        <v>2.72</v>
      </c>
      <c r="S4" s="89">
        <v>3.43</v>
      </c>
      <c r="T4" s="89">
        <v>2.84</v>
      </c>
      <c r="U4" s="89">
        <v>3.11</v>
      </c>
    </row>
    <row r="5" spans="1:24" s="20" customFormat="1">
      <c r="J5" s="11" t="s">
        <v>67</v>
      </c>
      <c r="K5" s="16">
        <v>2.1800000000000002</v>
      </c>
      <c r="L5" s="16">
        <v>2.72</v>
      </c>
      <c r="M5" s="16">
        <v>1.97</v>
      </c>
      <c r="N5" s="16">
        <v>5.33</v>
      </c>
      <c r="O5" s="16">
        <v>3.18</v>
      </c>
      <c r="P5" s="89">
        <v>4.28</v>
      </c>
      <c r="Q5" s="89">
        <v>0.59</v>
      </c>
      <c r="R5" s="89">
        <v>2.06</v>
      </c>
      <c r="S5" s="89">
        <v>1.02</v>
      </c>
      <c r="T5" s="89">
        <v>2.08</v>
      </c>
      <c r="U5" s="89">
        <v>2.97</v>
      </c>
    </row>
    <row r="6" spans="1:24" s="20" customFormat="1">
      <c r="J6" s="11" t="s">
        <v>68</v>
      </c>
      <c r="K6" s="16">
        <v>1.87</v>
      </c>
      <c r="L6" s="16">
        <v>2.85</v>
      </c>
      <c r="M6" s="16">
        <v>1.89</v>
      </c>
      <c r="N6" s="16">
        <v>5.04</v>
      </c>
      <c r="O6" s="16">
        <v>4.0999999999999996</v>
      </c>
      <c r="P6" s="89">
        <v>4</v>
      </c>
      <c r="Q6" s="89">
        <v>0.79</v>
      </c>
      <c r="R6" s="89">
        <v>2.06</v>
      </c>
      <c r="S6" s="89">
        <v>2.02</v>
      </c>
      <c r="T6" s="89">
        <v>2.82</v>
      </c>
      <c r="U6" s="89">
        <v>2.65</v>
      </c>
    </row>
    <row r="7" spans="1:24" s="20" customFormat="1">
      <c r="J7" s="11" t="s">
        <v>69</v>
      </c>
      <c r="K7" s="16"/>
      <c r="L7" s="16"/>
      <c r="M7" s="16">
        <v>2.12</v>
      </c>
      <c r="N7" s="16">
        <v>4.78</v>
      </c>
      <c r="O7" s="16">
        <v>4.0999999999999996</v>
      </c>
      <c r="P7" s="89">
        <v>3.9</v>
      </c>
      <c r="Q7" s="89">
        <v>0.72</v>
      </c>
      <c r="R7" s="89">
        <v>5.55</v>
      </c>
      <c r="S7" s="89">
        <v>1.54</v>
      </c>
      <c r="T7" s="89">
        <v>2.54</v>
      </c>
      <c r="U7" s="89">
        <v>2.65</v>
      </c>
    </row>
    <row r="8" spans="1:24" s="20" customFormat="1">
      <c r="J8" s="11" t="s">
        <v>70</v>
      </c>
      <c r="K8" s="16">
        <v>1.7</v>
      </c>
      <c r="L8" s="16">
        <v>2.69</v>
      </c>
      <c r="M8" s="16">
        <v>2.08</v>
      </c>
      <c r="N8" s="16">
        <v>2.4700000000000002</v>
      </c>
      <c r="O8" s="16">
        <v>3.91</v>
      </c>
      <c r="P8" s="89">
        <v>5.04</v>
      </c>
      <c r="Q8" s="89">
        <v>0.23</v>
      </c>
      <c r="R8" s="89">
        <v>3.88</v>
      </c>
      <c r="S8" s="89">
        <v>0.4</v>
      </c>
      <c r="T8" s="89">
        <v>2.23</v>
      </c>
      <c r="U8" s="89">
        <v>2.4500000000000002</v>
      </c>
    </row>
    <row r="9" spans="1:24" s="20" customFormat="1">
      <c r="J9" s="11" t="s">
        <v>71</v>
      </c>
      <c r="K9" s="16">
        <v>2.68</v>
      </c>
      <c r="L9" s="16"/>
      <c r="M9" s="16">
        <v>2.27</v>
      </c>
      <c r="N9" s="16"/>
      <c r="O9" s="16">
        <v>1.66</v>
      </c>
      <c r="P9" s="89"/>
      <c r="Q9" s="89"/>
      <c r="R9" s="89">
        <v>1.49</v>
      </c>
      <c r="S9" s="89"/>
      <c r="T9" s="89"/>
      <c r="U9" s="89">
        <v>1.64</v>
      </c>
    </row>
    <row r="10" spans="1:24" s="18" customFormat="1">
      <c r="J10" s="87"/>
      <c r="K10" s="77"/>
      <c r="L10" s="77"/>
      <c r="M10" s="77"/>
      <c r="N10" s="77"/>
      <c r="O10" s="85" t="s">
        <v>102</v>
      </c>
      <c r="P10" s="88">
        <v>14984000</v>
      </c>
      <c r="Q10" s="90">
        <v>13460000</v>
      </c>
      <c r="R10" s="86">
        <v>14056000</v>
      </c>
      <c r="S10" s="220">
        <v>17281000</v>
      </c>
      <c r="T10" s="84">
        <v>16046000</v>
      </c>
      <c r="U10" s="83">
        <v>15782000</v>
      </c>
    </row>
    <row r="11" spans="1:24" s="20" customFormat="1"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4" s="57" customFormat="1">
      <c r="J12" s="15"/>
      <c r="K12" s="15"/>
      <c r="L12" s="15"/>
      <c r="M12" s="15"/>
      <c r="N12" s="15"/>
      <c r="O12" s="91" t="s">
        <v>101</v>
      </c>
      <c r="P12" s="262">
        <f>(P2*1000000)-P10</f>
        <v>7446000</v>
      </c>
      <c r="Q12" s="262">
        <f>(Q2*1000000)-Q10</f>
        <v>-6670000</v>
      </c>
      <c r="R12" s="262">
        <f t="shared" ref="R12:U12" si="1">(R2*1000000)-R10</f>
        <v>3953999.9999999963</v>
      </c>
      <c r="S12" s="262">
        <f t="shared" si="1"/>
        <v>-5670999.9999999981</v>
      </c>
      <c r="T12" s="262">
        <f t="shared" si="1"/>
        <v>-2875999.9999999981</v>
      </c>
      <c r="U12" s="262">
        <f t="shared" si="1"/>
        <v>1368000.0000000037</v>
      </c>
    </row>
    <row r="13" spans="1:24" s="57" customFormat="1"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4" s="57" customFormat="1"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4" s="57" customFormat="1">
      <c r="F15" s="230" t="s">
        <v>72</v>
      </c>
      <c r="G15" s="222">
        <v>2019</v>
      </c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</row>
    <row r="16" spans="1:24" s="57" customFormat="1" ht="15.75" thickBot="1">
      <c r="F16" s="223" t="s">
        <v>30</v>
      </c>
      <c r="G16" s="224" t="s">
        <v>31</v>
      </c>
      <c r="H16" s="224" t="s">
        <v>32</v>
      </c>
      <c r="I16" s="224" t="s">
        <v>33</v>
      </c>
      <c r="J16" s="224" t="s">
        <v>34</v>
      </c>
      <c r="K16" s="224" t="s">
        <v>35</v>
      </c>
      <c r="L16" s="224" t="s">
        <v>36</v>
      </c>
      <c r="M16" s="224" t="s">
        <v>37</v>
      </c>
      <c r="N16" s="224" t="s">
        <v>38</v>
      </c>
      <c r="O16" s="224" t="s">
        <v>39</v>
      </c>
      <c r="P16" s="224" t="s">
        <v>40</v>
      </c>
      <c r="Q16" s="224" t="s">
        <v>41</v>
      </c>
      <c r="R16" s="224" t="s">
        <v>42</v>
      </c>
      <c r="S16" s="224" t="s">
        <v>43</v>
      </c>
      <c r="T16" s="224" t="s">
        <v>44</v>
      </c>
      <c r="U16" s="225" t="s">
        <v>100</v>
      </c>
    </row>
    <row r="17" spans="6:21" s="57" customFormat="1">
      <c r="F17" s="221"/>
      <c r="G17" s="226">
        <v>7534810685</v>
      </c>
      <c r="H17" s="234" t="s">
        <v>45</v>
      </c>
      <c r="I17" s="229">
        <v>17</v>
      </c>
      <c r="J17" s="229">
        <v>22</v>
      </c>
      <c r="K17" s="229">
        <v>21</v>
      </c>
      <c r="L17" s="229">
        <v>20</v>
      </c>
      <c r="M17" s="229">
        <v>22</v>
      </c>
      <c r="N17" s="229">
        <v>17</v>
      </c>
      <c r="O17" s="229">
        <v>15</v>
      </c>
      <c r="P17" s="229">
        <v>16</v>
      </c>
      <c r="Q17" s="229">
        <v>17</v>
      </c>
      <c r="R17" s="229">
        <v>16</v>
      </c>
      <c r="S17" s="229">
        <v>14</v>
      </c>
      <c r="T17" s="229">
        <v>13</v>
      </c>
      <c r="U17" s="232">
        <v>210</v>
      </c>
    </row>
    <row r="18" spans="6:21" s="57" customFormat="1">
      <c r="F18" s="221"/>
      <c r="G18" s="226">
        <v>4366050935</v>
      </c>
      <c r="H18" s="234" t="s">
        <v>46</v>
      </c>
      <c r="I18" s="229">
        <v>5</v>
      </c>
      <c r="J18" s="229">
        <v>24</v>
      </c>
      <c r="K18" s="229">
        <v>20</v>
      </c>
      <c r="L18" s="229">
        <v>28</v>
      </c>
      <c r="M18" s="229">
        <v>19</v>
      </c>
      <c r="N18" s="229">
        <v>3</v>
      </c>
      <c r="O18" s="229">
        <v>9</v>
      </c>
      <c r="P18" s="229">
        <v>28</v>
      </c>
      <c r="Q18" s="229">
        <v>22</v>
      </c>
      <c r="R18" s="229">
        <v>26</v>
      </c>
      <c r="S18" s="229">
        <v>25</v>
      </c>
      <c r="T18" s="229">
        <v>20</v>
      </c>
      <c r="U18" s="232">
        <v>229</v>
      </c>
    </row>
    <row r="19" spans="6:21" s="57" customFormat="1">
      <c r="F19" s="221"/>
      <c r="G19" s="226">
        <v>6366050937</v>
      </c>
      <c r="H19" s="234" t="s">
        <v>47</v>
      </c>
      <c r="I19" s="229">
        <v>8</v>
      </c>
      <c r="J19" s="229">
        <v>32</v>
      </c>
      <c r="K19" s="229">
        <v>26</v>
      </c>
      <c r="L19" s="229">
        <v>35</v>
      </c>
      <c r="M19" s="229">
        <v>28</v>
      </c>
      <c r="N19" s="229">
        <v>6</v>
      </c>
      <c r="O19" s="229">
        <v>5</v>
      </c>
      <c r="P19" s="229">
        <v>2</v>
      </c>
      <c r="Q19" s="229">
        <v>28</v>
      </c>
      <c r="R19" s="229">
        <v>48</v>
      </c>
      <c r="S19" s="229">
        <v>36</v>
      </c>
      <c r="T19" s="229">
        <v>30</v>
      </c>
      <c r="U19" s="232">
        <v>284</v>
      </c>
    </row>
    <row r="20" spans="6:21" s="57" customFormat="1">
      <c r="F20" s="221"/>
      <c r="G20" s="226">
        <v>7366050938</v>
      </c>
      <c r="H20" s="234" t="s">
        <v>48</v>
      </c>
      <c r="I20" s="229">
        <v>27</v>
      </c>
      <c r="J20" s="229">
        <v>46</v>
      </c>
      <c r="K20" s="229">
        <v>56</v>
      </c>
      <c r="L20" s="229">
        <v>45</v>
      </c>
      <c r="M20" s="229">
        <v>42</v>
      </c>
      <c r="N20" s="229">
        <v>45</v>
      </c>
      <c r="O20" s="229">
        <v>35</v>
      </c>
      <c r="P20" s="229">
        <v>38</v>
      </c>
      <c r="Q20" s="229">
        <v>41</v>
      </c>
      <c r="R20" s="229">
        <v>48</v>
      </c>
      <c r="S20" s="229">
        <v>46</v>
      </c>
      <c r="T20" s="229">
        <v>40</v>
      </c>
      <c r="U20" s="232">
        <v>509</v>
      </c>
    </row>
    <row r="21" spans="6:21" s="57" customFormat="1">
      <c r="F21" s="221"/>
      <c r="G21" s="226">
        <v>3366050934</v>
      </c>
      <c r="H21" s="234" t="s">
        <v>49</v>
      </c>
      <c r="I21" s="229">
        <v>379</v>
      </c>
      <c r="J21" s="229">
        <v>315</v>
      </c>
      <c r="K21" s="229">
        <v>301</v>
      </c>
      <c r="L21" s="229">
        <v>308</v>
      </c>
      <c r="M21" s="229">
        <v>316</v>
      </c>
      <c r="N21" s="229">
        <v>205</v>
      </c>
      <c r="O21" s="229">
        <v>77</v>
      </c>
      <c r="P21" s="229">
        <v>81</v>
      </c>
      <c r="Q21" s="229">
        <v>240</v>
      </c>
      <c r="R21" s="229">
        <v>279</v>
      </c>
      <c r="S21" s="229">
        <v>254</v>
      </c>
      <c r="T21" s="229">
        <v>161</v>
      </c>
      <c r="U21" s="232">
        <v>2916</v>
      </c>
    </row>
    <row r="22" spans="6:21" s="57" customFormat="1">
      <c r="F22" s="221"/>
      <c r="G22" s="226">
        <v>5581150299</v>
      </c>
      <c r="H22" s="234" t="s">
        <v>50</v>
      </c>
      <c r="I22" s="229">
        <v>37</v>
      </c>
      <c r="J22" s="229">
        <v>142</v>
      </c>
      <c r="K22" s="229">
        <v>143</v>
      </c>
      <c r="L22" s="229">
        <v>146</v>
      </c>
      <c r="M22" s="229">
        <v>137</v>
      </c>
      <c r="N22" s="229">
        <v>59</v>
      </c>
      <c r="O22" s="229">
        <v>115</v>
      </c>
      <c r="P22" s="229">
        <v>248</v>
      </c>
      <c r="Q22" s="229">
        <v>274</v>
      </c>
      <c r="R22" s="229">
        <v>197</v>
      </c>
      <c r="S22" s="229">
        <v>102</v>
      </c>
      <c r="T22" s="229">
        <v>89</v>
      </c>
      <c r="U22" s="232">
        <v>1689</v>
      </c>
    </row>
    <row r="23" spans="6:21" s="57" customFormat="1">
      <c r="F23" s="221"/>
      <c r="G23" s="226">
        <v>5366050936</v>
      </c>
      <c r="H23" s="234" t="s">
        <v>51</v>
      </c>
      <c r="I23" s="229">
        <v>11</v>
      </c>
      <c r="J23" s="229">
        <v>34</v>
      </c>
      <c r="K23" s="229">
        <v>38</v>
      </c>
      <c r="L23" s="229">
        <v>37</v>
      </c>
      <c r="M23" s="229">
        <v>35</v>
      </c>
      <c r="N23" s="229">
        <v>9</v>
      </c>
      <c r="O23" s="229">
        <v>10</v>
      </c>
      <c r="P23" s="229">
        <v>1</v>
      </c>
      <c r="Q23" s="229">
        <v>18</v>
      </c>
      <c r="R23" s="229">
        <v>27</v>
      </c>
      <c r="S23" s="229">
        <v>28</v>
      </c>
      <c r="T23" s="229">
        <v>24</v>
      </c>
      <c r="U23" s="232">
        <v>272</v>
      </c>
    </row>
    <row r="24" spans="6:21" s="57" customFormat="1">
      <c r="F24" s="221"/>
      <c r="G24" s="226">
        <v>2052150585</v>
      </c>
      <c r="H24" s="234" t="s">
        <v>52</v>
      </c>
      <c r="I24" s="229">
        <v>374</v>
      </c>
      <c r="J24" s="229">
        <v>554</v>
      </c>
      <c r="K24" s="229">
        <v>509</v>
      </c>
      <c r="L24" s="229">
        <v>504</v>
      </c>
      <c r="M24" s="229">
        <v>360</v>
      </c>
      <c r="N24" s="229">
        <v>187</v>
      </c>
      <c r="O24" s="229">
        <v>250</v>
      </c>
      <c r="P24" s="229">
        <v>337</v>
      </c>
      <c r="Q24" s="229">
        <v>421</v>
      </c>
      <c r="R24" s="229">
        <v>452</v>
      </c>
      <c r="S24" s="229">
        <v>240</v>
      </c>
      <c r="T24" s="229">
        <v>218</v>
      </c>
      <c r="U24" s="232">
        <v>4406</v>
      </c>
    </row>
    <row r="25" spans="6:21" s="57" customFormat="1">
      <c r="F25" s="221"/>
      <c r="G25" s="226">
        <v>8635150066</v>
      </c>
      <c r="H25" s="234" t="s">
        <v>53</v>
      </c>
      <c r="I25" s="229">
        <v>1</v>
      </c>
      <c r="J25" s="229">
        <v>6</v>
      </c>
      <c r="K25" s="229">
        <v>6</v>
      </c>
      <c r="L25" s="229">
        <v>5</v>
      </c>
      <c r="M25" s="229">
        <v>4</v>
      </c>
      <c r="N25" s="229">
        <v>3</v>
      </c>
      <c r="O25" s="229">
        <v>3</v>
      </c>
      <c r="P25" s="229">
        <v>3</v>
      </c>
      <c r="Q25" s="229">
        <v>4</v>
      </c>
      <c r="R25" s="229">
        <v>5</v>
      </c>
      <c r="S25" s="229">
        <v>4</v>
      </c>
      <c r="T25" s="229">
        <v>3</v>
      </c>
      <c r="U25" s="232">
        <v>47</v>
      </c>
    </row>
    <row r="26" spans="6:21" s="57" customFormat="1">
      <c r="F26" s="221"/>
      <c r="G26" s="227">
        <v>6663150208</v>
      </c>
      <c r="H26" s="234" t="s">
        <v>54</v>
      </c>
      <c r="I26" s="229">
        <v>20</v>
      </c>
      <c r="J26" s="229">
        <v>47</v>
      </c>
      <c r="K26" s="229">
        <v>36</v>
      </c>
      <c r="L26" s="229">
        <v>40</v>
      </c>
      <c r="M26" s="229">
        <v>40</v>
      </c>
      <c r="N26" s="229">
        <v>21</v>
      </c>
      <c r="O26" s="229">
        <v>19</v>
      </c>
      <c r="P26" s="229">
        <v>18</v>
      </c>
      <c r="Q26" s="229">
        <v>21</v>
      </c>
      <c r="R26" s="229">
        <v>35</v>
      </c>
      <c r="S26" s="229">
        <v>39</v>
      </c>
      <c r="T26" s="229">
        <v>34</v>
      </c>
      <c r="U26" s="232">
        <v>370</v>
      </c>
    </row>
    <row r="27" spans="6:21" s="57" customFormat="1">
      <c r="F27" s="221"/>
      <c r="G27" s="226">
        <v>6068150813</v>
      </c>
      <c r="H27" s="234" t="s">
        <v>55</v>
      </c>
      <c r="I27" s="229">
        <v>6</v>
      </c>
      <c r="J27" s="229">
        <v>28</v>
      </c>
      <c r="K27" s="229">
        <v>24</v>
      </c>
      <c r="L27" s="229">
        <v>29</v>
      </c>
      <c r="M27" s="229">
        <v>72</v>
      </c>
      <c r="N27" s="229">
        <v>145</v>
      </c>
      <c r="O27" s="229">
        <v>183</v>
      </c>
      <c r="P27" s="229">
        <v>228</v>
      </c>
      <c r="Q27" s="229">
        <v>188</v>
      </c>
      <c r="R27" s="229">
        <v>174</v>
      </c>
      <c r="S27" s="229">
        <v>56</v>
      </c>
      <c r="T27" s="229">
        <v>23</v>
      </c>
      <c r="U27" s="232">
        <v>1156</v>
      </c>
    </row>
    <row r="28" spans="6:21" s="57" customFormat="1">
      <c r="F28" s="221"/>
      <c r="G28" s="227">
        <v>5068150812</v>
      </c>
      <c r="H28" s="234" t="s">
        <v>56</v>
      </c>
      <c r="I28" s="229">
        <v>7</v>
      </c>
      <c r="J28" s="229">
        <v>18</v>
      </c>
      <c r="K28" s="229">
        <v>16</v>
      </c>
      <c r="L28" s="229">
        <v>22</v>
      </c>
      <c r="M28" s="229">
        <v>14</v>
      </c>
      <c r="N28" s="229">
        <v>9</v>
      </c>
      <c r="O28" s="229">
        <v>9</v>
      </c>
      <c r="P28" s="229">
        <v>31</v>
      </c>
      <c r="Q28" s="229">
        <v>30</v>
      </c>
      <c r="R28" s="229">
        <v>28</v>
      </c>
      <c r="S28" s="229">
        <v>19</v>
      </c>
      <c r="T28" s="229">
        <v>13</v>
      </c>
      <c r="U28" s="232">
        <v>216</v>
      </c>
    </row>
    <row r="29" spans="6:21" s="57" customFormat="1">
      <c r="F29" s="221"/>
      <c r="G29" s="227">
        <v>2364150700</v>
      </c>
      <c r="H29" s="234" t="s">
        <v>57</v>
      </c>
      <c r="I29" s="229">
        <v>43</v>
      </c>
      <c r="J29" s="229">
        <v>77</v>
      </c>
      <c r="K29" s="229">
        <v>52</v>
      </c>
      <c r="L29" s="229">
        <v>47</v>
      </c>
      <c r="M29" s="229">
        <v>53</v>
      </c>
      <c r="N29" s="229">
        <v>36</v>
      </c>
      <c r="O29" s="229">
        <v>33</v>
      </c>
      <c r="P29" s="229">
        <v>47</v>
      </c>
      <c r="Q29" s="229">
        <v>57</v>
      </c>
      <c r="R29" s="229">
        <v>73</v>
      </c>
      <c r="S29" s="229">
        <v>54</v>
      </c>
      <c r="T29" s="229">
        <v>51</v>
      </c>
      <c r="U29" s="232">
        <v>623</v>
      </c>
    </row>
    <row r="30" spans="6:21" s="57" customFormat="1">
      <c r="F30" s="221"/>
      <c r="G30" s="227">
        <v>1364150699</v>
      </c>
      <c r="H30" s="234" t="s">
        <v>58</v>
      </c>
      <c r="I30" s="229">
        <v>30</v>
      </c>
      <c r="J30" s="229">
        <v>117</v>
      </c>
      <c r="K30" s="229">
        <v>103</v>
      </c>
      <c r="L30" s="229">
        <v>125</v>
      </c>
      <c r="M30" s="229">
        <v>113</v>
      </c>
      <c r="N30" s="229">
        <v>85</v>
      </c>
      <c r="O30" s="229">
        <v>118</v>
      </c>
      <c r="P30" s="229">
        <v>143</v>
      </c>
      <c r="Q30" s="229">
        <v>158</v>
      </c>
      <c r="R30" s="229">
        <v>184</v>
      </c>
      <c r="S30" s="229">
        <v>123</v>
      </c>
      <c r="T30" s="229">
        <v>101</v>
      </c>
      <c r="U30" s="232">
        <v>1400</v>
      </c>
    </row>
    <row r="31" spans="6:21" s="57" customFormat="1">
      <c r="F31" s="221"/>
      <c r="G31" s="226">
        <v>2068150809</v>
      </c>
      <c r="H31" s="234">
        <v>429985</v>
      </c>
      <c r="I31" s="229">
        <v>0</v>
      </c>
      <c r="J31" s="229">
        <v>2</v>
      </c>
      <c r="K31" s="229">
        <v>1</v>
      </c>
      <c r="L31" s="229">
        <v>1</v>
      </c>
      <c r="M31" s="229">
        <v>1</v>
      </c>
      <c r="N31" s="229">
        <v>1</v>
      </c>
      <c r="O31" s="229">
        <v>1</v>
      </c>
      <c r="P31" s="229">
        <v>1</v>
      </c>
      <c r="Q31" s="229">
        <v>1</v>
      </c>
      <c r="R31" s="229">
        <v>2</v>
      </c>
      <c r="S31" s="229">
        <v>1</v>
      </c>
      <c r="T31" s="229">
        <v>1</v>
      </c>
      <c r="U31" s="232">
        <v>13</v>
      </c>
    </row>
    <row r="32" spans="6:21" s="57" customFormat="1">
      <c r="F32" s="221"/>
      <c r="G32" s="226">
        <v>5756250297</v>
      </c>
      <c r="H32" s="233" t="s">
        <v>60</v>
      </c>
      <c r="I32" s="229">
        <v>6</v>
      </c>
      <c r="J32" s="229">
        <v>9</v>
      </c>
      <c r="K32" s="229">
        <v>15</v>
      </c>
      <c r="L32" s="229">
        <v>18</v>
      </c>
      <c r="M32" s="229">
        <v>22</v>
      </c>
      <c r="N32" s="229">
        <v>18</v>
      </c>
      <c r="O32" s="229">
        <v>21</v>
      </c>
      <c r="P32" s="229">
        <v>19</v>
      </c>
      <c r="Q32" s="229">
        <v>23</v>
      </c>
      <c r="R32" s="229">
        <v>26</v>
      </c>
      <c r="S32" s="229">
        <v>33</v>
      </c>
      <c r="T32" s="229">
        <v>15</v>
      </c>
      <c r="U32" s="232">
        <v>225</v>
      </c>
    </row>
    <row r="33" spans="6:21" s="57" customFormat="1">
      <c r="F33" s="221"/>
      <c r="G33" s="227">
        <v>3054467971</v>
      </c>
      <c r="H33" s="233" t="s">
        <v>62</v>
      </c>
      <c r="I33" s="229">
        <v>22</v>
      </c>
      <c r="J33" s="229">
        <v>39</v>
      </c>
      <c r="K33" s="229">
        <v>38</v>
      </c>
      <c r="L33" s="229">
        <v>43</v>
      </c>
      <c r="M33" s="229">
        <v>41</v>
      </c>
      <c r="N33" s="229">
        <v>29</v>
      </c>
      <c r="O33" s="229">
        <v>33</v>
      </c>
      <c r="P33" s="229">
        <v>29</v>
      </c>
      <c r="Q33" s="229">
        <v>32</v>
      </c>
      <c r="R33" s="229">
        <v>41</v>
      </c>
      <c r="S33" s="229">
        <v>39</v>
      </c>
      <c r="T33" s="229">
        <v>33</v>
      </c>
      <c r="U33" s="232">
        <v>419</v>
      </c>
    </row>
    <row r="34" spans="6:21" s="57" customFormat="1">
      <c r="F34" s="221"/>
      <c r="G34" s="221"/>
      <c r="H34" s="221"/>
      <c r="I34" s="231">
        <v>993</v>
      </c>
      <c r="J34" s="231">
        <v>1512</v>
      </c>
      <c r="K34" s="231">
        <v>1405</v>
      </c>
      <c r="L34" s="231">
        <v>1453</v>
      </c>
      <c r="M34" s="231">
        <v>1319</v>
      </c>
      <c r="N34" s="231">
        <v>878</v>
      </c>
      <c r="O34" s="231">
        <v>936</v>
      </c>
      <c r="P34" s="231">
        <v>1270</v>
      </c>
      <c r="Q34" s="231">
        <v>1575</v>
      </c>
      <c r="R34" s="231">
        <v>1661</v>
      </c>
      <c r="S34" s="231">
        <v>1113</v>
      </c>
      <c r="T34" s="231">
        <v>869</v>
      </c>
      <c r="U34" s="229">
        <v>14984</v>
      </c>
    </row>
    <row r="35" spans="6:21" s="57" customFormat="1"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6:21" s="57" customFormat="1">
      <c r="F36" s="221"/>
      <c r="G36" s="221"/>
      <c r="H36" s="228" t="s">
        <v>64</v>
      </c>
      <c r="I36" s="229">
        <v>993000</v>
      </c>
      <c r="J36" s="229">
        <v>1512000</v>
      </c>
      <c r="K36" s="229">
        <v>1405000</v>
      </c>
      <c r="L36" s="229">
        <v>1453000</v>
      </c>
      <c r="M36" s="229">
        <v>1319000</v>
      </c>
      <c r="N36" s="229">
        <v>878000</v>
      </c>
      <c r="O36" s="229">
        <v>936000</v>
      </c>
      <c r="P36" s="229">
        <v>1270000</v>
      </c>
      <c r="Q36" s="229">
        <v>1575000</v>
      </c>
      <c r="R36" s="229">
        <v>1661000</v>
      </c>
      <c r="S36" s="229">
        <v>1113000</v>
      </c>
      <c r="T36" s="229">
        <v>869000</v>
      </c>
      <c r="U36" s="229">
        <v>14984000</v>
      </c>
    </row>
    <row r="37" spans="6:21" s="57" customFormat="1"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6:21" s="57" customFormat="1">
      <c r="F38" s="79"/>
      <c r="G38" s="79"/>
      <c r="H38" s="79"/>
      <c r="I38" s="79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9"/>
    </row>
    <row r="39" spans="6:21" s="57" customFormat="1">
      <c r="F39" s="244" t="s">
        <v>72</v>
      </c>
      <c r="G39" s="236">
        <v>2020</v>
      </c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</row>
    <row r="40" spans="6:21" s="57" customFormat="1" ht="15.75" thickBot="1">
      <c r="F40" s="237" t="s">
        <v>30</v>
      </c>
      <c r="G40" s="238" t="s">
        <v>31</v>
      </c>
      <c r="H40" s="238" t="s">
        <v>32</v>
      </c>
      <c r="I40" s="238" t="s">
        <v>33</v>
      </c>
      <c r="J40" s="238" t="s">
        <v>34</v>
      </c>
      <c r="K40" s="238" t="s">
        <v>35</v>
      </c>
      <c r="L40" s="238" t="s">
        <v>36</v>
      </c>
      <c r="M40" s="238" t="s">
        <v>37</v>
      </c>
      <c r="N40" s="238" t="s">
        <v>38</v>
      </c>
      <c r="O40" s="238" t="s">
        <v>39</v>
      </c>
      <c r="P40" s="238" t="s">
        <v>40</v>
      </c>
      <c r="Q40" s="238" t="s">
        <v>41</v>
      </c>
      <c r="R40" s="238" t="s">
        <v>42</v>
      </c>
      <c r="S40" s="238" t="s">
        <v>43</v>
      </c>
      <c r="T40" s="238" t="s">
        <v>44</v>
      </c>
      <c r="U40" s="239" t="s">
        <v>100</v>
      </c>
    </row>
    <row r="41" spans="6:21" s="57" customFormat="1">
      <c r="F41" s="235"/>
      <c r="G41" s="240">
        <v>7534810685</v>
      </c>
      <c r="H41" s="248" t="s">
        <v>45</v>
      </c>
      <c r="I41" s="243">
        <v>10</v>
      </c>
      <c r="J41" s="243">
        <v>15</v>
      </c>
      <c r="K41" s="243">
        <v>15</v>
      </c>
      <c r="L41" s="243">
        <v>16</v>
      </c>
      <c r="M41" s="243">
        <v>18</v>
      </c>
      <c r="N41" s="243">
        <v>14</v>
      </c>
      <c r="O41" s="243">
        <v>12</v>
      </c>
      <c r="P41" s="243">
        <v>12</v>
      </c>
      <c r="Q41" s="243">
        <v>13</v>
      </c>
      <c r="R41" s="243">
        <v>12</v>
      </c>
      <c r="S41" s="243">
        <v>13</v>
      </c>
      <c r="T41" s="243">
        <v>13</v>
      </c>
      <c r="U41" s="246">
        <v>163</v>
      </c>
    </row>
    <row r="42" spans="6:21" s="57" customFormat="1">
      <c r="F42" s="235"/>
      <c r="G42" s="240">
        <v>4366050935</v>
      </c>
      <c r="H42" s="248" t="s">
        <v>46</v>
      </c>
      <c r="I42" s="243">
        <v>3</v>
      </c>
      <c r="J42" s="243">
        <v>22</v>
      </c>
      <c r="K42" s="243">
        <v>19</v>
      </c>
      <c r="L42" s="243">
        <v>13</v>
      </c>
      <c r="M42" s="243">
        <v>8</v>
      </c>
      <c r="N42" s="243">
        <v>1</v>
      </c>
      <c r="O42" s="243">
        <v>0</v>
      </c>
      <c r="P42" s="243">
        <v>0</v>
      </c>
      <c r="Q42" s="243">
        <v>26</v>
      </c>
      <c r="R42" s="243">
        <v>20</v>
      </c>
      <c r="S42" s="243">
        <v>25</v>
      </c>
      <c r="T42" s="243">
        <v>13</v>
      </c>
      <c r="U42" s="246">
        <v>150</v>
      </c>
    </row>
    <row r="43" spans="6:21" s="57" customFormat="1">
      <c r="F43" s="235"/>
      <c r="G43" s="240">
        <v>6366050937</v>
      </c>
      <c r="H43" s="248" t="s">
        <v>47</v>
      </c>
      <c r="I43" s="243">
        <v>5</v>
      </c>
      <c r="J43" s="243">
        <v>37</v>
      </c>
      <c r="K43" s="243">
        <v>27</v>
      </c>
      <c r="L43" s="243">
        <v>22</v>
      </c>
      <c r="M43" s="243">
        <v>12</v>
      </c>
      <c r="N43" s="243">
        <v>7</v>
      </c>
      <c r="O43" s="243">
        <v>8</v>
      </c>
      <c r="P43" s="243">
        <v>7</v>
      </c>
      <c r="Q43" s="243">
        <v>26</v>
      </c>
      <c r="R43" s="243">
        <v>27</v>
      </c>
      <c r="S43" s="243">
        <v>35</v>
      </c>
      <c r="T43" s="243">
        <v>20</v>
      </c>
      <c r="U43" s="246">
        <v>233</v>
      </c>
    </row>
    <row r="44" spans="6:21" s="57" customFormat="1">
      <c r="F44" s="235"/>
      <c r="G44" s="240">
        <v>7366050938</v>
      </c>
      <c r="H44" s="248" t="s">
        <v>48</v>
      </c>
      <c r="I44" s="243">
        <v>24</v>
      </c>
      <c r="J44" s="243">
        <v>46</v>
      </c>
      <c r="K44" s="243">
        <v>42</v>
      </c>
      <c r="L44" s="243">
        <v>15</v>
      </c>
      <c r="M44" s="243">
        <v>4</v>
      </c>
      <c r="N44" s="243">
        <v>10</v>
      </c>
      <c r="O44" s="243">
        <v>29</v>
      </c>
      <c r="P44" s="243">
        <v>42</v>
      </c>
      <c r="Q44" s="243">
        <v>46</v>
      </c>
      <c r="R44" s="243">
        <v>33</v>
      </c>
      <c r="S44" s="243">
        <v>18</v>
      </c>
      <c r="T44" s="243">
        <v>12</v>
      </c>
      <c r="U44" s="246">
        <v>321</v>
      </c>
    </row>
    <row r="45" spans="6:21" s="57" customFormat="1">
      <c r="F45" s="235"/>
      <c r="G45" s="240">
        <v>3366050934</v>
      </c>
      <c r="H45" s="248" t="s">
        <v>49</v>
      </c>
      <c r="I45" s="243">
        <v>28</v>
      </c>
      <c r="J45" s="243">
        <v>178</v>
      </c>
      <c r="K45" s="243">
        <v>159</v>
      </c>
      <c r="L45" s="243">
        <v>93</v>
      </c>
      <c r="M45" s="243">
        <v>48</v>
      </c>
      <c r="N45" s="243">
        <v>13</v>
      </c>
      <c r="O45" s="243">
        <v>10</v>
      </c>
      <c r="P45" s="243">
        <v>20</v>
      </c>
      <c r="Q45" s="243">
        <v>137</v>
      </c>
      <c r="R45" s="243">
        <v>130</v>
      </c>
      <c r="S45" s="243">
        <v>140</v>
      </c>
      <c r="T45" s="243">
        <v>98</v>
      </c>
      <c r="U45" s="246">
        <v>1054</v>
      </c>
    </row>
    <row r="46" spans="6:21" s="57" customFormat="1">
      <c r="F46" s="235"/>
      <c r="G46" s="240">
        <v>5581150299</v>
      </c>
      <c r="H46" s="248" t="s">
        <v>50</v>
      </c>
      <c r="I46" s="243">
        <v>20</v>
      </c>
      <c r="J46" s="243">
        <v>89</v>
      </c>
      <c r="K46" s="243">
        <v>75</v>
      </c>
      <c r="L46" s="243">
        <v>51</v>
      </c>
      <c r="M46" s="243">
        <v>115</v>
      </c>
      <c r="N46" s="243">
        <v>175</v>
      </c>
      <c r="O46" s="243">
        <v>11</v>
      </c>
      <c r="P46" s="243">
        <v>30</v>
      </c>
      <c r="Q46" s="243">
        <v>188</v>
      </c>
      <c r="R46" s="243">
        <v>232</v>
      </c>
      <c r="S46" s="243">
        <v>225</v>
      </c>
      <c r="T46" s="243">
        <v>87</v>
      </c>
      <c r="U46" s="246">
        <v>1298</v>
      </c>
    </row>
    <row r="47" spans="6:21" s="57" customFormat="1">
      <c r="F47" s="235"/>
      <c r="G47" s="240">
        <v>5366050936</v>
      </c>
      <c r="H47" s="248" t="s">
        <v>51</v>
      </c>
      <c r="I47" s="243">
        <v>7</v>
      </c>
      <c r="J47" s="243">
        <v>25</v>
      </c>
      <c r="K47" s="243">
        <v>20</v>
      </c>
      <c r="L47" s="243">
        <v>12</v>
      </c>
      <c r="M47" s="243">
        <v>15</v>
      </c>
      <c r="N47" s="243">
        <v>8</v>
      </c>
      <c r="O47" s="243">
        <v>5</v>
      </c>
      <c r="P47" s="243">
        <v>2</v>
      </c>
      <c r="Q47" s="243">
        <v>22</v>
      </c>
      <c r="R47" s="243">
        <v>26</v>
      </c>
      <c r="S47" s="243">
        <v>40</v>
      </c>
      <c r="T47" s="243">
        <v>12</v>
      </c>
      <c r="U47" s="246">
        <v>194</v>
      </c>
    </row>
    <row r="48" spans="6:21" s="57" customFormat="1">
      <c r="F48" s="235"/>
      <c r="G48" s="240">
        <v>2052150585</v>
      </c>
      <c r="H48" s="248" t="s">
        <v>52</v>
      </c>
      <c r="I48" s="243">
        <v>53</v>
      </c>
      <c r="J48" s="243">
        <v>245</v>
      </c>
      <c r="K48" s="243">
        <v>190</v>
      </c>
      <c r="L48" s="243">
        <v>115</v>
      </c>
      <c r="M48" s="243">
        <v>188</v>
      </c>
      <c r="N48" s="243">
        <v>227</v>
      </c>
      <c r="O48" s="243">
        <v>461</v>
      </c>
      <c r="P48" s="243">
        <v>347</v>
      </c>
      <c r="Q48" s="243">
        <v>477</v>
      </c>
      <c r="R48" s="243">
        <v>374</v>
      </c>
      <c r="S48" s="243">
        <v>269</v>
      </c>
      <c r="T48" s="243">
        <v>97</v>
      </c>
      <c r="U48" s="246">
        <v>3043</v>
      </c>
    </row>
    <row r="49" spans="6:21" s="57" customFormat="1">
      <c r="F49" s="235"/>
      <c r="G49" s="240">
        <v>8635150066</v>
      </c>
      <c r="H49" s="248" t="s">
        <v>53</v>
      </c>
      <c r="I49" s="243">
        <v>0</v>
      </c>
      <c r="J49" s="243">
        <v>9</v>
      </c>
      <c r="K49" s="243">
        <v>4</v>
      </c>
      <c r="L49" s="243">
        <v>1</v>
      </c>
      <c r="M49" s="243">
        <v>0</v>
      </c>
      <c r="N49" s="243">
        <v>0</v>
      </c>
      <c r="O49" s="243">
        <v>1</v>
      </c>
      <c r="P49" s="243">
        <v>1</v>
      </c>
      <c r="Q49" s="243">
        <v>4</v>
      </c>
      <c r="R49" s="243">
        <v>5</v>
      </c>
      <c r="S49" s="243">
        <v>5</v>
      </c>
      <c r="T49" s="243">
        <v>4</v>
      </c>
      <c r="U49" s="246">
        <v>34</v>
      </c>
    </row>
    <row r="50" spans="6:21" s="57" customFormat="1">
      <c r="F50" s="235"/>
      <c r="G50" s="241">
        <v>6663150208</v>
      </c>
      <c r="H50" s="248" t="s">
        <v>54</v>
      </c>
      <c r="I50" s="243">
        <v>16</v>
      </c>
      <c r="J50" s="243">
        <v>35</v>
      </c>
      <c r="K50" s="243">
        <v>31</v>
      </c>
      <c r="L50" s="243">
        <v>10</v>
      </c>
      <c r="M50" s="243">
        <v>3</v>
      </c>
      <c r="N50" s="243">
        <v>4</v>
      </c>
      <c r="O50" s="243">
        <v>9</v>
      </c>
      <c r="P50" s="243">
        <v>11</v>
      </c>
      <c r="Q50" s="243">
        <v>16</v>
      </c>
      <c r="R50" s="243">
        <v>12</v>
      </c>
      <c r="S50" s="243">
        <v>13</v>
      </c>
      <c r="T50" s="243">
        <v>8</v>
      </c>
      <c r="U50" s="246">
        <v>168</v>
      </c>
    </row>
    <row r="51" spans="6:21" s="57" customFormat="1">
      <c r="F51" s="235"/>
      <c r="G51" s="240">
        <v>6068150813</v>
      </c>
      <c r="H51" s="248" t="s">
        <v>55</v>
      </c>
      <c r="I51" s="243">
        <v>5</v>
      </c>
      <c r="J51" s="243">
        <v>30</v>
      </c>
      <c r="K51" s="243">
        <v>25</v>
      </c>
      <c r="L51" s="243">
        <v>7</v>
      </c>
      <c r="M51" s="243">
        <v>1</v>
      </c>
      <c r="N51" s="243">
        <v>3</v>
      </c>
      <c r="O51" s="243">
        <v>434</v>
      </c>
      <c r="P51" s="243">
        <v>220</v>
      </c>
      <c r="Q51" s="243">
        <v>195</v>
      </c>
      <c r="R51" s="243">
        <v>115</v>
      </c>
      <c r="S51" s="243">
        <v>56</v>
      </c>
      <c r="T51" s="243">
        <v>3</v>
      </c>
      <c r="U51" s="246">
        <v>1094</v>
      </c>
    </row>
    <row r="52" spans="6:21" s="57" customFormat="1">
      <c r="F52" s="235"/>
      <c r="G52" s="241">
        <v>5068150812</v>
      </c>
      <c r="H52" s="248" t="s">
        <v>56</v>
      </c>
      <c r="I52" s="243">
        <v>5</v>
      </c>
      <c r="J52" s="243">
        <v>17</v>
      </c>
      <c r="K52" s="243">
        <v>15</v>
      </c>
      <c r="L52" s="243">
        <v>4</v>
      </c>
      <c r="M52" s="243">
        <v>3</v>
      </c>
      <c r="N52" s="243">
        <v>4</v>
      </c>
      <c r="O52" s="243">
        <v>40</v>
      </c>
      <c r="P52" s="243">
        <v>16</v>
      </c>
      <c r="Q52" s="243">
        <v>23</v>
      </c>
      <c r="R52" s="243">
        <v>21</v>
      </c>
      <c r="S52" s="243">
        <v>127</v>
      </c>
      <c r="T52" s="243">
        <v>3</v>
      </c>
      <c r="U52" s="246">
        <v>278</v>
      </c>
    </row>
    <row r="53" spans="6:21" s="57" customFormat="1">
      <c r="F53" s="235"/>
      <c r="G53" s="241">
        <v>2364150700</v>
      </c>
      <c r="H53" s="248" t="s">
        <v>57</v>
      </c>
      <c r="I53" s="243">
        <v>32</v>
      </c>
      <c r="J53" s="243">
        <v>69</v>
      </c>
      <c r="K53" s="243">
        <v>78</v>
      </c>
      <c r="L53" s="243">
        <v>10</v>
      </c>
      <c r="M53" s="243">
        <v>8</v>
      </c>
      <c r="N53" s="243">
        <v>12</v>
      </c>
      <c r="O53" s="243">
        <v>16</v>
      </c>
      <c r="P53" s="243">
        <v>14</v>
      </c>
      <c r="Q53" s="243">
        <v>17</v>
      </c>
      <c r="R53" s="243">
        <v>13</v>
      </c>
      <c r="S53" s="243">
        <v>36</v>
      </c>
      <c r="T53" s="243">
        <v>31</v>
      </c>
      <c r="U53" s="246">
        <v>336</v>
      </c>
    </row>
    <row r="54" spans="6:21" s="57" customFormat="1">
      <c r="F54" s="235"/>
      <c r="G54" s="241">
        <v>1364150699</v>
      </c>
      <c r="H54" s="248" t="s">
        <v>58</v>
      </c>
      <c r="I54" s="243">
        <v>20</v>
      </c>
      <c r="J54" s="243">
        <v>119</v>
      </c>
      <c r="K54" s="243">
        <v>97</v>
      </c>
      <c r="L54" s="243">
        <v>36</v>
      </c>
      <c r="M54" s="243">
        <v>1</v>
      </c>
      <c r="N54" s="243">
        <v>6</v>
      </c>
      <c r="O54" s="243">
        <v>145</v>
      </c>
      <c r="P54" s="243">
        <v>107</v>
      </c>
      <c r="Q54" s="243">
        <v>133</v>
      </c>
      <c r="R54" s="243">
        <v>95</v>
      </c>
      <c r="S54" s="243">
        <v>67</v>
      </c>
      <c r="T54" s="243">
        <v>15</v>
      </c>
      <c r="U54" s="246">
        <v>841</v>
      </c>
    </row>
    <row r="55" spans="6:21" s="57" customFormat="1">
      <c r="F55" s="235"/>
      <c r="G55" s="240">
        <v>2068150809</v>
      </c>
      <c r="H55" s="248" t="s">
        <v>59</v>
      </c>
      <c r="I55" s="243">
        <v>0</v>
      </c>
      <c r="J55" s="243">
        <v>1</v>
      </c>
      <c r="K55" s="243">
        <v>1</v>
      </c>
      <c r="L55" s="243">
        <v>1</v>
      </c>
      <c r="M55" s="243">
        <v>0</v>
      </c>
      <c r="N55" s="243">
        <v>0</v>
      </c>
      <c r="O55" s="243">
        <v>0</v>
      </c>
      <c r="P55" s="243">
        <v>0</v>
      </c>
      <c r="Q55" s="243">
        <v>1</v>
      </c>
      <c r="R55" s="243">
        <v>0</v>
      </c>
      <c r="S55" s="243">
        <v>1</v>
      </c>
      <c r="T55" s="243">
        <v>1</v>
      </c>
      <c r="U55" s="246">
        <v>6</v>
      </c>
    </row>
    <row r="56" spans="6:21" s="57" customFormat="1">
      <c r="F56" s="235"/>
      <c r="G56" s="240">
        <v>5756250297</v>
      </c>
      <c r="H56" s="247" t="s">
        <v>60</v>
      </c>
      <c r="I56" s="241">
        <v>0</v>
      </c>
      <c r="J56" s="241">
        <v>0</v>
      </c>
      <c r="K56" s="241">
        <v>0</v>
      </c>
      <c r="L56" s="241">
        <v>0</v>
      </c>
      <c r="M56" s="241">
        <v>0</v>
      </c>
      <c r="N56" s="241">
        <v>0</v>
      </c>
      <c r="O56" s="241">
        <v>0</v>
      </c>
      <c r="P56" s="241">
        <v>2343</v>
      </c>
      <c r="Q56" s="241">
        <v>684</v>
      </c>
      <c r="R56" s="241">
        <v>415</v>
      </c>
      <c r="S56" s="241">
        <v>350</v>
      </c>
      <c r="T56" s="241">
        <v>179</v>
      </c>
      <c r="U56" s="246">
        <v>3971</v>
      </c>
    </row>
    <row r="57" spans="6:21" s="57" customFormat="1">
      <c r="F57" s="235"/>
      <c r="G57" s="241">
        <v>1665911804</v>
      </c>
      <c r="H57" s="247" t="s">
        <v>61</v>
      </c>
      <c r="I57" s="243">
        <v>8</v>
      </c>
      <c r="J57" s="243">
        <v>17</v>
      </c>
      <c r="K57" s="243">
        <v>19</v>
      </c>
      <c r="L57" s="243">
        <v>2</v>
      </c>
      <c r="M57" s="243">
        <v>0</v>
      </c>
      <c r="N57" s="243">
        <v>5</v>
      </c>
      <c r="O57" s="243">
        <v>6</v>
      </c>
      <c r="P57" s="243">
        <v>3</v>
      </c>
      <c r="Q57" s="243">
        <v>4</v>
      </c>
      <c r="R57" s="243">
        <v>11</v>
      </c>
      <c r="S57" s="243">
        <v>6</v>
      </c>
      <c r="T57" s="243">
        <v>7</v>
      </c>
      <c r="U57" s="246">
        <v>88</v>
      </c>
    </row>
    <row r="58" spans="6:21" s="57" customFormat="1">
      <c r="F58" s="235"/>
      <c r="G58" s="241">
        <v>3054467971</v>
      </c>
      <c r="H58" s="247" t="s">
        <v>62</v>
      </c>
      <c r="I58" s="243">
        <v>19</v>
      </c>
      <c r="J58" s="243">
        <v>38</v>
      </c>
      <c r="K58" s="243">
        <v>36</v>
      </c>
      <c r="L58" s="243">
        <v>9</v>
      </c>
      <c r="M58" s="243">
        <v>2</v>
      </c>
      <c r="N58" s="243">
        <v>4</v>
      </c>
      <c r="O58" s="243">
        <v>12</v>
      </c>
      <c r="P58" s="243">
        <v>12</v>
      </c>
      <c r="Q58" s="243">
        <v>15</v>
      </c>
      <c r="R58" s="243">
        <v>13</v>
      </c>
      <c r="S58" s="243">
        <v>17</v>
      </c>
      <c r="T58" s="243">
        <v>8</v>
      </c>
      <c r="U58" s="246">
        <v>185</v>
      </c>
    </row>
    <row r="59" spans="6:21" s="57" customFormat="1">
      <c r="F59" s="235"/>
      <c r="G59" s="241">
        <v>3380811569</v>
      </c>
      <c r="H59" s="247" t="s">
        <v>63</v>
      </c>
      <c r="I59" s="241">
        <v>0</v>
      </c>
      <c r="J59" s="241">
        <v>0</v>
      </c>
      <c r="K59" s="241">
        <v>0</v>
      </c>
      <c r="L59" s="241">
        <v>0</v>
      </c>
      <c r="M59" s="241">
        <v>0</v>
      </c>
      <c r="N59" s="241">
        <v>0</v>
      </c>
      <c r="O59" s="241">
        <v>0</v>
      </c>
      <c r="P59" s="241">
        <v>0</v>
      </c>
      <c r="Q59" s="241">
        <v>0</v>
      </c>
      <c r="R59" s="241">
        <v>0</v>
      </c>
      <c r="S59" s="243">
        <v>0</v>
      </c>
      <c r="T59" s="243">
        <v>3</v>
      </c>
      <c r="U59" s="246">
        <v>3</v>
      </c>
    </row>
    <row r="60" spans="6:21" s="57" customFormat="1">
      <c r="F60" s="235"/>
      <c r="G60" s="235"/>
      <c r="H60" s="235"/>
      <c r="I60" s="245">
        <v>255</v>
      </c>
      <c r="J60" s="245">
        <v>992</v>
      </c>
      <c r="K60" s="245">
        <v>853</v>
      </c>
      <c r="L60" s="245">
        <v>417</v>
      </c>
      <c r="M60" s="245">
        <v>426</v>
      </c>
      <c r="N60" s="245">
        <v>493</v>
      </c>
      <c r="O60" s="245">
        <v>1199</v>
      </c>
      <c r="P60" s="245">
        <v>3187</v>
      </c>
      <c r="Q60" s="245">
        <v>2027</v>
      </c>
      <c r="R60" s="245">
        <v>1554</v>
      </c>
      <c r="S60" s="245">
        <v>1443</v>
      </c>
      <c r="T60" s="245">
        <v>614</v>
      </c>
      <c r="U60" s="243">
        <v>13460</v>
      </c>
    </row>
    <row r="61" spans="6:21" s="57" customFormat="1"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6:21" s="57" customFormat="1">
      <c r="F62" s="235"/>
      <c r="G62" s="235"/>
      <c r="H62" s="242" t="s">
        <v>64</v>
      </c>
      <c r="I62" s="243">
        <v>255000</v>
      </c>
      <c r="J62" s="243">
        <v>992000</v>
      </c>
      <c r="K62" s="243">
        <v>853000</v>
      </c>
      <c r="L62" s="243">
        <v>417000</v>
      </c>
      <c r="M62" s="243">
        <v>426000</v>
      </c>
      <c r="N62" s="243">
        <v>493000</v>
      </c>
      <c r="O62" s="243">
        <v>1199000</v>
      </c>
      <c r="P62" s="243">
        <v>3187000</v>
      </c>
      <c r="Q62" s="243">
        <v>2027000</v>
      </c>
      <c r="R62" s="243">
        <v>1554000</v>
      </c>
      <c r="S62" s="243">
        <v>1443000</v>
      </c>
      <c r="T62" s="243">
        <v>614000</v>
      </c>
      <c r="U62" s="243">
        <v>13460000</v>
      </c>
    </row>
    <row r="63" spans="6:21" s="57" customFormat="1"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6:21" s="57" customFormat="1">
      <c r="F64" s="79"/>
      <c r="G64" s="79"/>
      <c r="H64" s="79"/>
      <c r="I64" s="79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9"/>
    </row>
    <row r="65" spans="6:21" s="57" customFormat="1">
      <c r="F65" s="258" t="s">
        <v>72</v>
      </c>
      <c r="G65" s="250">
        <v>2021</v>
      </c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</row>
    <row r="66" spans="6:21" s="57" customFormat="1" ht="15.75" thickBot="1">
      <c r="F66" s="251" t="s">
        <v>30</v>
      </c>
      <c r="G66" s="252" t="s">
        <v>31</v>
      </c>
      <c r="H66" s="252" t="s">
        <v>32</v>
      </c>
      <c r="I66" s="252" t="s">
        <v>33</v>
      </c>
      <c r="J66" s="252" t="s">
        <v>34</v>
      </c>
      <c r="K66" s="252" t="s">
        <v>35</v>
      </c>
      <c r="L66" s="252" t="s">
        <v>36</v>
      </c>
      <c r="M66" s="252" t="s">
        <v>37</v>
      </c>
      <c r="N66" s="252" t="s">
        <v>38</v>
      </c>
      <c r="O66" s="252" t="s">
        <v>39</v>
      </c>
      <c r="P66" s="252" t="s">
        <v>40</v>
      </c>
      <c r="Q66" s="252" t="s">
        <v>41</v>
      </c>
      <c r="R66" s="252" t="s">
        <v>42</v>
      </c>
      <c r="S66" s="252" t="s">
        <v>43</v>
      </c>
      <c r="T66" s="252" t="s">
        <v>44</v>
      </c>
      <c r="U66" s="253" t="s">
        <v>100</v>
      </c>
    </row>
    <row r="67" spans="6:21" s="57" customFormat="1">
      <c r="F67" s="249"/>
      <c r="G67" s="254">
        <v>7534810685</v>
      </c>
      <c r="H67" s="261" t="s">
        <v>45</v>
      </c>
      <c r="I67" s="257">
        <v>12</v>
      </c>
      <c r="J67" s="257">
        <v>14</v>
      </c>
      <c r="K67" s="257">
        <v>14</v>
      </c>
      <c r="L67" s="257">
        <v>14</v>
      </c>
      <c r="M67" s="257">
        <v>17</v>
      </c>
      <c r="N67" s="257">
        <v>10</v>
      </c>
      <c r="O67" s="257">
        <v>10</v>
      </c>
      <c r="P67" s="257">
        <v>14</v>
      </c>
      <c r="Q67" s="257">
        <v>13</v>
      </c>
      <c r="R67" s="257">
        <v>18</v>
      </c>
      <c r="S67" s="257">
        <v>12</v>
      </c>
      <c r="T67" s="257">
        <v>15</v>
      </c>
      <c r="U67" s="260">
        <v>163</v>
      </c>
    </row>
    <row r="68" spans="6:21" s="57" customFormat="1">
      <c r="F68" s="249"/>
      <c r="G68" s="254">
        <v>4366050935</v>
      </c>
      <c r="H68" s="261" t="s">
        <v>46</v>
      </c>
      <c r="I68" s="257">
        <v>3</v>
      </c>
      <c r="J68" s="257">
        <v>16</v>
      </c>
      <c r="K68" s="257">
        <v>17</v>
      </c>
      <c r="L68" s="257">
        <v>15</v>
      </c>
      <c r="M68" s="257">
        <v>12</v>
      </c>
      <c r="N68" s="257">
        <v>1</v>
      </c>
      <c r="O68" s="257">
        <v>0</v>
      </c>
      <c r="P68" s="257">
        <v>2</v>
      </c>
      <c r="Q68" s="257">
        <v>69</v>
      </c>
      <c r="R68" s="257">
        <v>49</v>
      </c>
      <c r="S68" s="257">
        <v>62</v>
      </c>
      <c r="T68" s="257">
        <v>46</v>
      </c>
      <c r="U68" s="260">
        <v>292</v>
      </c>
    </row>
    <row r="69" spans="6:21" s="57" customFormat="1">
      <c r="F69" s="249"/>
      <c r="G69" s="254">
        <v>6366050937</v>
      </c>
      <c r="H69" s="261" t="s">
        <v>47</v>
      </c>
      <c r="I69" s="257">
        <v>1</v>
      </c>
      <c r="J69" s="257">
        <v>59</v>
      </c>
      <c r="K69" s="257">
        <v>49</v>
      </c>
      <c r="L69" s="257">
        <v>57</v>
      </c>
      <c r="M69" s="257">
        <v>96</v>
      </c>
      <c r="N69" s="257">
        <v>112</v>
      </c>
      <c r="O69" s="257">
        <v>28</v>
      </c>
      <c r="P69" s="257">
        <v>2</v>
      </c>
      <c r="Q69" s="257">
        <v>57</v>
      </c>
      <c r="R69" s="257">
        <v>54</v>
      </c>
      <c r="S69" s="257">
        <v>58</v>
      </c>
      <c r="T69" s="257">
        <v>27</v>
      </c>
      <c r="U69" s="260">
        <v>600</v>
      </c>
    </row>
    <row r="70" spans="6:21" s="57" customFormat="1">
      <c r="F70" s="249"/>
      <c r="G70" s="254">
        <v>7366050938</v>
      </c>
      <c r="H70" s="261" t="s">
        <v>48</v>
      </c>
      <c r="I70" s="257">
        <v>12</v>
      </c>
      <c r="J70" s="257">
        <v>18</v>
      </c>
      <c r="K70" s="257">
        <v>22</v>
      </c>
      <c r="L70" s="257">
        <v>19</v>
      </c>
      <c r="M70" s="257">
        <v>23</v>
      </c>
      <c r="N70" s="257">
        <v>25</v>
      </c>
      <c r="O70" s="257">
        <v>38</v>
      </c>
      <c r="P70" s="257">
        <v>64</v>
      </c>
      <c r="Q70" s="257">
        <v>55</v>
      </c>
      <c r="R70" s="257">
        <v>51</v>
      </c>
      <c r="S70" s="257">
        <v>34</v>
      </c>
      <c r="T70" s="257">
        <v>30</v>
      </c>
      <c r="U70" s="260">
        <v>391</v>
      </c>
    </row>
    <row r="71" spans="6:21" s="57" customFormat="1">
      <c r="F71" s="249"/>
      <c r="G71" s="254">
        <v>3366050934</v>
      </c>
      <c r="H71" s="261" t="s">
        <v>49</v>
      </c>
      <c r="I71" s="257">
        <v>1</v>
      </c>
      <c r="J71" s="257">
        <v>103</v>
      </c>
      <c r="K71" s="257">
        <v>189</v>
      </c>
      <c r="L71" s="257">
        <v>165</v>
      </c>
      <c r="M71" s="257">
        <v>120</v>
      </c>
      <c r="N71" s="257">
        <v>51</v>
      </c>
      <c r="O71" s="257">
        <v>84</v>
      </c>
      <c r="P71" s="257">
        <v>60</v>
      </c>
      <c r="Q71" s="257">
        <v>110</v>
      </c>
      <c r="R71" s="257">
        <v>137</v>
      </c>
      <c r="S71" s="257">
        <v>127</v>
      </c>
      <c r="T71" s="257">
        <v>122</v>
      </c>
      <c r="U71" s="260">
        <v>1269</v>
      </c>
    </row>
    <row r="72" spans="6:21" s="57" customFormat="1">
      <c r="F72" s="249"/>
      <c r="G72" s="254">
        <v>5581150299</v>
      </c>
      <c r="H72" s="261" t="s">
        <v>50</v>
      </c>
      <c r="I72" s="257">
        <v>39</v>
      </c>
      <c r="J72" s="257">
        <v>129</v>
      </c>
      <c r="K72" s="257">
        <v>143</v>
      </c>
      <c r="L72" s="257">
        <v>136</v>
      </c>
      <c r="M72" s="257">
        <v>104</v>
      </c>
      <c r="N72" s="257">
        <v>19</v>
      </c>
      <c r="O72" s="257">
        <v>101</v>
      </c>
      <c r="P72" s="257">
        <v>183</v>
      </c>
      <c r="Q72" s="257">
        <v>209</v>
      </c>
      <c r="R72" s="257">
        <v>324</v>
      </c>
      <c r="S72" s="257">
        <v>316</v>
      </c>
      <c r="T72" s="257">
        <v>325</v>
      </c>
      <c r="U72" s="260">
        <v>2028</v>
      </c>
    </row>
    <row r="73" spans="6:21" s="57" customFormat="1">
      <c r="F73" s="249"/>
      <c r="G73" s="254">
        <v>5366050936</v>
      </c>
      <c r="H73" s="261" t="s">
        <v>51</v>
      </c>
      <c r="I73" s="257">
        <v>0</v>
      </c>
      <c r="J73" s="257">
        <v>26</v>
      </c>
      <c r="K73" s="257">
        <v>29</v>
      </c>
      <c r="L73" s="257">
        <v>31</v>
      </c>
      <c r="M73" s="257">
        <v>23</v>
      </c>
      <c r="N73" s="257">
        <v>9</v>
      </c>
      <c r="O73" s="257">
        <v>9</v>
      </c>
      <c r="P73" s="257">
        <v>12</v>
      </c>
      <c r="Q73" s="257">
        <v>20</v>
      </c>
      <c r="R73" s="257">
        <v>41</v>
      </c>
      <c r="S73" s="257">
        <v>31</v>
      </c>
      <c r="T73" s="257">
        <v>26</v>
      </c>
      <c r="U73" s="260">
        <v>257</v>
      </c>
    </row>
    <row r="74" spans="6:21" s="57" customFormat="1">
      <c r="F74" s="249"/>
      <c r="G74" s="254">
        <v>2052150585</v>
      </c>
      <c r="H74" s="261" t="s">
        <v>52</v>
      </c>
      <c r="I74" s="257">
        <v>37</v>
      </c>
      <c r="J74" s="257">
        <v>158</v>
      </c>
      <c r="K74" s="257">
        <v>176</v>
      </c>
      <c r="L74" s="257">
        <v>190</v>
      </c>
      <c r="M74" s="257">
        <v>151</v>
      </c>
      <c r="N74" s="257">
        <v>162</v>
      </c>
      <c r="O74" s="257">
        <v>273</v>
      </c>
      <c r="P74" s="257">
        <v>315</v>
      </c>
      <c r="Q74" s="257">
        <v>558</v>
      </c>
      <c r="R74" s="257">
        <v>454</v>
      </c>
      <c r="S74" s="257">
        <v>249</v>
      </c>
      <c r="T74" s="257">
        <v>189</v>
      </c>
      <c r="U74" s="260">
        <v>2912</v>
      </c>
    </row>
    <row r="75" spans="6:21" s="57" customFormat="1">
      <c r="F75" s="249"/>
      <c r="G75" s="254">
        <v>8635150066</v>
      </c>
      <c r="H75" s="261" t="s">
        <v>53</v>
      </c>
      <c r="I75" s="257">
        <v>3</v>
      </c>
      <c r="J75" s="257">
        <v>3</v>
      </c>
      <c r="K75" s="257">
        <v>3</v>
      </c>
      <c r="L75" s="257">
        <v>3</v>
      </c>
      <c r="M75" s="257">
        <v>31</v>
      </c>
      <c r="N75" s="257">
        <v>14</v>
      </c>
      <c r="O75" s="257">
        <v>123</v>
      </c>
      <c r="P75" s="257">
        <v>9</v>
      </c>
      <c r="Q75" s="257">
        <v>17</v>
      </c>
      <c r="R75" s="257">
        <v>19</v>
      </c>
      <c r="S75" s="257">
        <v>30</v>
      </c>
      <c r="T75" s="257">
        <v>27</v>
      </c>
      <c r="U75" s="260">
        <v>282</v>
      </c>
    </row>
    <row r="76" spans="6:21" s="57" customFormat="1">
      <c r="F76" s="249"/>
      <c r="G76" s="255">
        <v>6663150208</v>
      </c>
      <c r="H76" s="261" t="s">
        <v>54</v>
      </c>
      <c r="I76" s="257">
        <v>30</v>
      </c>
      <c r="J76" s="257">
        <v>16</v>
      </c>
      <c r="K76" s="257">
        <v>18</v>
      </c>
      <c r="L76" s="257">
        <v>17</v>
      </c>
      <c r="M76" s="257">
        <v>19</v>
      </c>
      <c r="N76" s="257">
        <v>12</v>
      </c>
      <c r="O76" s="257">
        <v>12</v>
      </c>
      <c r="P76" s="257">
        <v>12</v>
      </c>
      <c r="Q76" s="257">
        <v>17</v>
      </c>
      <c r="R76" s="257">
        <v>21</v>
      </c>
      <c r="S76" s="257">
        <v>22</v>
      </c>
      <c r="T76" s="257">
        <v>22</v>
      </c>
      <c r="U76" s="260">
        <v>218</v>
      </c>
    </row>
    <row r="77" spans="6:21" s="57" customFormat="1">
      <c r="F77" s="249"/>
      <c r="G77" s="254">
        <v>6068150813</v>
      </c>
      <c r="H77" s="261" t="s">
        <v>55</v>
      </c>
      <c r="I77" s="257">
        <v>2</v>
      </c>
      <c r="J77" s="257">
        <v>7</v>
      </c>
      <c r="K77" s="257">
        <v>8</v>
      </c>
      <c r="L77" s="257">
        <v>8</v>
      </c>
      <c r="M77" s="257">
        <v>7</v>
      </c>
      <c r="N77" s="257">
        <v>13</v>
      </c>
      <c r="O77" s="257">
        <v>23</v>
      </c>
      <c r="P77" s="257">
        <v>14</v>
      </c>
      <c r="Q77" s="257">
        <v>37</v>
      </c>
      <c r="R77" s="257">
        <v>78</v>
      </c>
      <c r="S77" s="257">
        <v>30</v>
      </c>
      <c r="T77" s="257">
        <v>21</v>
      </c>
      <c r="U77" s="260">
        <v>248</v>
      </c>
    </row>
    <row r="78" spans="6:21" s="57" customFormat="1">
      <c r="F78" s="249"/>
      <c r="G78" s="255">
        <v>5068150812</v>
      </c>
      <c r="H78" s="261" t="s">
        <v>56</v>
      </c>
      <c r="I78" s="257">
        <v>2</v>
      </c>
      <c r="J78" s="257">
        <v>4</v>
      </c>
      <c r="K78" s="257">
        <v>6</v>
      </c>
      <c r="L78" s="257">
        <v>5</v>
      </c>
      <c r="M78" s="257">
        <v>6</v>
      </c>
      <c r="N78" s="257">
        <v>2</v>
      </c>
      <c r="O78" s="257">
        <v>2</v>
      </c>
      <c r="P78" s="257">
        <v>2</v>
      </c>
      <c r="Q78" s="257">
        <v>5</v>
      </c>
      <c r="R78" s="257">
        <v>7</v>
      </c>
      <c r="S78" s="257">
        <v>10</v>
      </c>
      <c r="T78" s="257">
        <v>7</v>
      </c>
      <c r="U78" s="260">
        <v>58</v>
      </c>
    </row>
    <row r="79" spans="6:21" s="57" customFormat="1">
      <c r="F79" s="249"/>
      <c r="G79" s="255">
        <v>2364150700</v>
      </c>
      <c r="H79" s="261" t="s">
        <v>57</v>
      </c>
      <c r="I79" s="257">
        <v>34</v>
      </c>
      <c r="J79" s="257">
        <v>33</v>
      </c>
      <c r="K79" s="257">
        <v>33</v>
      </c>
      <c r="L79" s="257">
        <v>26</v>
      </c>
      <c r="M79" s="257">
        <v>46</v>
      </c>
      <c r="N79" s="257">
        <v>23</v>
      </c>
      <c r="O79" s="257">
        <v>40</v>
      </c>
      <c r="P79" s="257">
        <v>41</v>
      </c>
      <c r="Q79" s="257">
        <v>62</v>
      </c>
      <c r="R79" s="257">
        <v>57</v>
      </c>
      <c r="S79" s="257">
        <v>43</v>
      </c>
      <c r="T79" s="257">
        <v>48</v>
      </c>
      <c r="U79" s="260">
        <v>486</v>
      </c>
    </row>
    <row r="80" spans="6:21" s="57" customFormat="1">
      <c r="F80" s="249"/>
      <c r="G80" s="255">
        <v>1364150699</v>
      </c>
      <c r="H80" s="261" t="s">
        <v>58</v>
      </c>
      <c r="I80" s="257">
        <v>17</v>
      </c>
      <c r="J80" s="257">
        <v>25</v>
      </c>
      <c r="K80" s="257">
        <v>28</v>
      </c>
      <c r="L80" s="257">
        <v>26</v>
      </c>
      <c r="M80" s="257">
        <v>21</v>
      </c>
      <c r="N80" s="257">
        <v>94</v>
      </c>
      <c r="O80" s="257">
        <v>135</v>
      </c>
      <c r="P80" s="257">
        <v>167</v>
      </c>
      <c r="Q80" s="257">
        <v>327</v>
      </c>
      <c r="R80" s="257">
        <v>190</v>
      </c>
      <c r="S80" s="257">
        <v>83</v>
      </c>
      <c r="T80" s="257">
        <v>56</v>
      </c>
      <c r="U80" s="260">
        <v>1169</v>
      </c>
    </row>
    <row r="81" spans="6:21" s="57" customFormat="1">
      <c r="F81" s="249"/>
      <c r="G81" s="254">
        <v>2068150809</v>
      </c>
      <c r="H81" s="261" t="s">
        <v>59</v>
      </c>
      <c r="I81" s="257">
        <v>0</v>
      </c>
      <c r="J81" s="257">
        <v>0</v>
      </c>
      <c r="K81" s="257">
        <v>1</v>
      </c>
      <c r="L81" s="257">
        <v>1</v>
      </c>
      <c r="M81" s="257">
        <v>2</v>
      </c>
      <c r="N81" s="257">
        <v>0</v>
      </c>
      <c r="O81" s="257">
        <v>1</v>
      </c>
      <c r="P81" s="257">
        <v>1</v>
      </c>
      <c r="Q81" s="257">
        <v>0</v>
      </c>
      <c r="R81" s="257">
        <v>1</v>
      </c>
      <c r="S81" s="257">
        <v>1</v>
      </c>
      <c r="T81" s="257">
        <v>1</v>
      </c>
      <c r="U81" s="260">
        <v>9</v>
      </c>
    </row>
    <row r="82" spans="6:21" s="57" customFormat="1">
      <c r="F82" s="249"/>
      <c r="G82" s="254">
        <v>5756250297</v>
      </c>
      <c r="H82" s="261" t="s">
        <v>60</v>
      </c>
      <c r="I82" s="255">
        <v>135</v>
      </c>
      <c r="J82" s="255">
        <v>1</v>
      </c>
      <c r="K82" s="255">
        <v>2</v>
      </c>
      <c r="L82" s="255">
        <v>2</v>
      </c>
      <c r="M82" s="255">
        <v>40</v>
      </c>
      <c r="N82" s="255">
        <v>247</v>
      </c>
      <c r="O82" s="255">
        <v>360</v>
      </c>
      <c r="P82" s="255">
        <v>406</v>
      </c>
      <c r="Q82" s="255">
        <v>615</v>
      </c>
      <c r="R82" s="255">
        <v>674</v>
      </c>
      <c r="S82" s="255">
        <v>456</v>
      </c>
      <c r="T82" s="255">
        <v>444</v>
      </c>
      <c r="U82" s="260">
        <v>3382</v>
      </c>
    </row>
    <row r="83" spans="6:21" s="57" customFormat="1">
      <c r="F83" s="249"/>
      <c r="G83" s="255">
        <v>1665911804</v>
      </c>
      <c r="H83" s="261" t="s">
        <v>61</v>
      </c>
      <c r="I83" s="257">
        <v>3</v>
      </c>
      <c r="J83" s="257">
        <v>19</v>
      </c>
      <c r="K83" s="257">
        <v>3</v>
      </c>
      <c r="L83" s="257">
        <v>9</v>
      </c>
      <c r="M83" s="257">
        <v>5</v>
      </c>
      <c r="N83" s="257">
        <v>3</v>
      </c>
      <c r="O83" s="257">
        <v>4</v>
      </c>
      <c r="P83" s="257">
        <v>5</v>
      </c>
      <c r="Q83" s="257">
        <v>6</v>
      </c>
      <c r="R83" s="257">
        <v>6</v>
      </c>
      <c r="S83" s="257">
        <v>14</v>
      </c>
      <c r="T83" s="257">
        <v>11</v>
      </c>
      <c r="U83" s="260">
        <v>88</v>
      </c>
    </row>
    <row r="84" spans="6:21" s="57" customFormat="1">
      <c r="F84" s="249"/>
      <c r="G84" s="255">
        <v>3054467971</v>
      </c>
      <c r="H84" s="261" t="s">
        <v>62</v>
      </c>
      <c r="I84" s="257">
        <v>5</v>
      </c>
      <c r="J84" s="257">
        <v>10</v>
      </c>
      <c r="K84" s="257">
        <v>13</v>
      </c>
      <c r="L84" s="257">
        <v>13</v>
      </c>
      <c r="M84" s="257">
        <v>14</v>
      </c>
      <c r="N84" s="257">
        <v>11</v>
      </c>
      <c r="O84" s="257">
        <v>13</v>
      </c>
      <c r="P84" s="257">
        <v>15</v>
      </c>
      <c r="Q84" s="257">
        <v>21</v>
      </c>
      <c r="R84" s="257">
        <v>24</v>
      </c>
      <c r="S84" s="257">
        <v>42</v>
      </c>
      <c r="T84" s="257">
        <v>22</v>
      </c>
      <c r="U84" s="260">
        <v>203</v>
      </c>
    </row>
    <row r="85" spans="6:21" s="57" customFormat="1">
      <c r="F85" s="249"/>
      <c r="G85" s="255">
        <v>3380811569</v>
      </c>
      <c r="H85" s="261" t="s">
        <v>63</v>
      </c>
      <c r="I85" s="257">
        <v>0</v>
      </c>
      <c r="J85" s="257">
        <v>0</v>
      </c>
      <c r="K85" s="257">
        <v>0</v>
      </c>
      <c r="L85" s="257">
        <v>0</v>
      </c>
      <c r="M85" s="257">
        <v>0</v>
      </c>
      <c r="N85" s="257">
        <v>0</v>
      </c>
      <c r="O85" s="257">
        <v>1</v>
      </c>
      <c r="P85" s="257">
        <v>0</v>
      </c>
      <c r="Q85" s="257">
        <v>0</v>
      </c>
      <c r="R85" s="257">
        <v>0</v>
      </c>
      <c r="S85" s="257">
        <v>0</v>
      </c>
      <c r="T85" s="257">
        <v>0</v>
      </c>
      <c r="U85" s="260">
        <v>1</v>
      </c>
    </row>
    <row r="86" spans="6:21" s="57" customFormat="1">
      <c r="F86" s="249"/>
      <c r="G86" s="249"/>
      <c r="H86" s="249"/>
      <c r="I86" s="259">
        <v>336</v>
      </c>
      <c r="J86" s="259">
        <v>641</v>
      </c>
      <c r="K86" s="259">
        <v>754</v>
      </c>
      <c r="L86" s="259">
        <v>737</v>
      </c>
      <c r="M86" s="259">
        <v>737</v>
      </c>
      <c r="N86" s="259">
        <v>808</v>
      </c>
      <c r="O86" s="259">
        <v>1257</v>
      </c>
      <c r="P86" s="259">
        <v>1324</v>
      </c>
      <c r="Q86" s="259">
        <v>2198</v>
      </c>
      <c r="R86" s="259">
        <v>2205</v>
      </c>
      <c r="S86" s="259">
        <v>1620</v>
      </c>
      <c r="T86" s="259">
        <v>1439</v>
      </c>
      <c r="U86" s="257">
        <v>14056</v>
      </c>
    </row>
    <row r="87" spans="6:21" s="57" customFormat="1"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6:21" s="57" customFormat="1">
      <c r="F88" s="249"/>
      <c r="G88" s="249"/>
      <c r="H88" s="256" t="s">
        <v>64</v>
      </c>
      <c r="I88" s="257">
        <v>336000</v>
      </c>
      <c r="J88" s="257">
        <v>641000</v>
      </c>
      <c r="K88" s="257">
        <v>754000</v>
      </c>
      <c r="L88" s="257">
        <v>737000</v>
      </c>
      <c r="M88" s="257">
        <v>737000</v>
      </c>
      <c r="N88" s="257">
        <v>808000</v>
      </c>
      <c r="O88" s="257">
        <v>1257000</v>
      </c>
      <c r="P88" s="257">
        <v>1324000</v>
      </c>
      <c r="Q88" s="257">
        <v>2198000</v>
      </c>
      <c r="R88" s="257">
        <v>2205000</v>
      </c>
      <c r="S88" s="257">
        <v>1620000</v>
      </c>
      <c r="T88" s="257">
        <v>1439000</v>
      </c>
      <c r="U88" s="257">
        <v>14056000</v>
      </c>
    </row>
    <row r="89" spans="6:21" s="57" customFormat="1"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6:21" s="57" customFormat="1">
      <c r="F90" s="79"/>
      <c r="G90" s="79"/>
      <c r="H90" s="79"/>
      <c r="I90" s="79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9"/>
    </row>
    <row r="91" spans="6:21" s="57" customFormat="1">
      <c r="F91" s="272" t="s">
        <v>72</v>
      </c>
      <c r="G91" s="264">
        <v>2022</v>
      </c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</row>
    <row r="92" spans="6:21" s="57" customFormat="1" ht="15.75" thickBot="1">
      <c r="F92" s="265" t="s">
        <v>30</v>
      </c>
      <c r="G92" s="266" t="s">
        <v>31</v>
      </c>
      <c r="H92" s="266" t="s">
        <v>32</v>
      </c>
      <c r="I92" s="266" t="s">
        <v>33</v>
      </c>
      <c r="J92" s="266" t="s">
        <v>34</v>
      </c>
      <c r="K92" s="266" t="s">
        <v>35</v>
      </c>
      <c r="L92" s="266" t="s">
        <v>36</v>
      </c>
      <c r="M92" s="266" t="s">
        <v>37</v>
      </c>
      <c r="N92" s="266" t="s">
        <v>38</v>
      </c>
      <c r="O92" s="266" t="s">
        <v>39</v>
      </c>
      <c r="P92" s="266" t="s">
        <v>40</v>
      </c>
      <c r="Q92" s="266" t="s">
        <v>41</v>
      </c>
      <c r="R92" s="266" t="s">
        <v>42</v>
      </c>
      <c r="S92" s="266" t="s">
        <v>43</v>
      </c>
      <c r="T92" s="266" t="s">
        <v>44</v>
      </c>
      <c r="U92" s="267" t="s">
        <v>100</v>
      </c>
    </row>
    <row r="93" spans="6:21" s="57" customFormat="1">
      <c r="F93" s="263"/>
      <c r="G93" s="268">
        <v>7534810685</v>
      </c>
      <c r="H93" s="275" t="s">
        <v>45</v>
      </c>
      <c r="I93" s="271">
        <v>15</v>
      </c>
      <c r="J93" s="271">
        <v>15</v>
      </c>
      <c r="K93" s="271">
        <v>16</v>
      </c>
      <c r="L93" s="271">
        <v>17</v>
      </c>
      <c r="M93" s="271">
        <v>18</v>
      </c>
      <c r="N93" s="271">
        <v>10</v>
      </c>
      <c r="O93" s="271">
        <v>21</v>
      </c>
      <c r="P93" s="271">
        <v>19</v>
      </c>
      <c r="Q93" s="271">
        <v>16</v>
      </c>
      <c r="R93" s="271">
        <v>13</v>
      </c>
      <c r="S93" s="271">
        <v>15</v>
      </c>
      <c r="T93" s="271">
        <v>18</v>
      </c>
      <c r="U93" s="274">
        <v>193</v>
      </c>
    </row>
    <row r="94" spans="6:21" s="57" customFormat="1">
      <c r="F94" s="263"/>
      <c r="G94" s="268">
        <v>4366050935</v>
      </c>
      <c r="H94" s="275" t="s">
        <v>46</v>
      </c>
      <c r="I94" s="271">
        <v>9</v>
      </c>
      <c r="J94" s="271">
        <v>69</v>
      </c>
      <c r="K94" s="271">
        <v>63</v>
      </c>
      <c r="L94" s="271">
        <v>77</v>
      </c>
      <c r="M94" s="271">
        <v>28</v>
      </c>
      <c r="N94" s="271">
        <v>2</v>
      </c>
      <c r="O94" s="271">
        <v>1</v>
      </c>
      <c r="P94" s="271">
        <v>3</v>
      </c>
      <c r="Q94" s="271">
        <v>31</v>
      </c>
      <c r="R94" s="271">
        <v>43</v>
      </c>
      <c r="S94" s="271">
        <v>42</v>
      </c>
      <c r="T94" s="271">
        <v>41</v>
      </c>
      <c r="U94" s="274">
        <v>409</v>
      </c>
    </row>
    <row r="95" spans="6:21" s="57" customFormat="1">
      <c r="F95" s="263"/>
      <c r="G95" s="268">
        <v>6366050937</v>
      </c>
      <c r="H95" s="275" t="s">
        <v>47</v>
      </c>
      <c r="I95" s="271">
        <v>9</v>
      </c>
      <c r="J95" s="271">
        <v>20</v>
      </c>
      <c r="K95" s="271">
        <v>17</v>
      </c>
      <c r="L95" s="271">
        <v>24</v>
      </c>
      <c r="M95" s="271">
        <v>15</v>
      </c>
      <c r="N95" s="271">
        <v>12</v>
      </c>
      <c r="O95" s="271">
        <v>11</v>
      </c>
      <c r="P95" s="271">
        <v>9</v>
      </c>
      <c r="Q95" s="271">
        <v>19</v>
      </c>
      <c r="R95" s="271">
        <v>19</v>
      </c>
      <c r="S95" s="271">
        <v>24</v>
      </c>
      <c r="T95" s="271">
        <v>20</v>
      </c>
      <c r="U95" s="274">
        <v>199</v>
      </c>
    </row>
    <row r="96" spans="6:21" s="57" customFormat="1">
      <c r="F96" s="263"/>
      <c r="G96" s="268">
        <v>7366050938</v>
      </c>
      <c r="H96" s="275" t="s">
        <v>48</v>
      </c>
      <c r="I96" s="271">
        <v>20</v>
      </c>
      <c r="J96" s="271">
        <v>32</v>
      </c>
      <c r="K96" s="271">
        <v>31</v>
      </c>
      <c r="L96" s="271">
        <v>33</v>
      </c>
      <c r="M96" s="271">
        <v>28</v>
      </c>
      <c r="N96" s="271">
        <v>41</v>
      </c>
      <c r="O96" s="271">
        <v>46</v>
      </c>
      <c r="P96" s="271">
        <v>48</v>
      </c>
      <c r="Q96" s="271">
        <v>51</v>
      </c>
      <c r="R96" s="271">
        <v>52</v>
      </c>
      <c r="S96" s="271">
        <v>48</v>
      </c>
      <c r="T96" s="271">
        <v>48</v>
      </c>
      <c r="U96" s="274">
        <v>478</v>
      </c>
    </row>
    <row r="97" spans="6:21" s="57" customFormat="1">
      <c r="F97" s="263"/>
      <c r="G97" s="268">
        <v>3366050934</v>
      </c>
      <c r="H97" s="275" t="s">
        <v>49</v>
      </c>
      <c r="I97" s="271">
        <v>24</v>
      </c>
      <c r="J97" s="271">
        <v>151</v>
      </c>
      <c r="K97" s="271">
        <v>135</v>
      </c>
      <c r="L97" s="271">
        <v>140</v>
      </c>
      <c r="M97" s="271">
        <v>71</v>
      </c>
      <c r="N97" s="271">
        <v>35</v>
      </c>
      <c r="O97" s="271">
        <v>14</v>
      </c>
      <c r="P97" s="271">
        <v>54</v>
      </c>
      <c r="Q97" s="271">
        <v>130</v>
      </c>
      <c r="R97" s="271">
        <v>176</v>
      </c>
      <c r="S97" s="271">
        <v>160</v>
      </c>
      <c r="T97" s="271">
        <v>179</v>
      </c>
      <c r="U97" s="274">
        <v>1269</v>
      </c>
    </row>
    <row r="98" spans="6:21" s="57" customFormat="1">
      <c r="F98" s="263"/>
      <c r="G98" s="268">
        <v>5581150299</v>
      </c>
      <c r="H98" s="275" t="s">
        <v>50</v>
      </c>
      <c r="I98" s="271">
        <v>269</v>
      </c>
      <c r="J98" s="271">
        <v>309</v>
      </c>
      <c r="K98" s="271">
        <v>297</v>
      </c>
      <c r="L98" s="271">
        <v>343</v>
      </c>
      <c r="M98" s="271">
        <v>269</v>
      </c>
      <c r="N98" s="271">
        <v>49</v>
      </c>
      <c r="O98" s="271">
        <v>103</v>
      </c>
      <c r="P98" s="271">
        <v>108</v>
      </c>
      <c r="Q98" s="271">
        <v>161</v>
      </c>
      <c r="R98" s="271">
        <v>122</v>
      </c>
      <c r="S98" s="271">
        <v>126</v>
      </c>
      <c r="T98" s="271">
        <v>127</v>
      </c>
      <c r="U98" s="274">
        <v>2283</v>
      </c>
    </row>
    <row r="99" spans="6:21" s="57" customFormat="1">
      <c r="F99" s="263"/>
      <c r="G99" s="268">
        <v>5366050936</v>
      </c>
      <c r="H99" s="275" t="s">
        <v>51</v>
      </c>
      <c r="I99" s="271">
        <v>20</v>
      </c>
      <c r="J99" s="271">
        <v>25</v>
      </c>
      <c r="K99" s="271">
        <v>23</v>
      </c>
      <c r="L99" s="271">
        <v>28</v>
      </c>
      <c r="M99" s="271">
        <v>19</v>
      </c>
      <c r="N99" s="271">
        <v>8</v>
      </c>
      <c r="O99" s="271">
        <v>9</v>
      </c>
      <c r="P99" s="271">
        <v>29</v>
      </c>
      <c r="Q99" s="271">
        <v>188</v>
      </c>
      <c r="R99" s="271">
        <v>125</v>
      </c>
      <c r="S99" s="271">
        <v>40</v>
      </c>
      <c r="T99" s="271">
        <v>179</v>
      </c>
      <c r="U99" s="274">
        <v>693</v>
      </c>
    </row>
    <row r="100" spans="6:21" s="57" customFormat="1">
      <c r="F100" s="263"/>
      <c r="G100" s="268">
        <v>2052150585</v>
      </c>
      <c r="H100" s="275" t="s">
        <v>52</v>
      </c>
      <c r="I100" s="271">
        <v>51</v>
      </c>
      <c r="J100" s="271">
        <v>144</v>
      </c>
      <c r="K100" s="271">
        <v>134</v>
      </c>
      <c r="L100" s="271">
        <v>225</v>
      </c>
      <c r="M100" s="271">
        <v>505</v>
      </c>
      <c r="N100" s="271">
        <v>341</v>
      </c>
      <c r="O100" s="271">
        <v>429</v>
      </c>
      <c r="P100" s="271">
        <v>395</v>
      </c>
      <c r="Q100" s="271">
        <v>525</v>
      </c>
      <c r="R100" s="271">
        <v>307</v>
      </c>
      <c r="S100" s="271">
        <v>237</v>
      </c>
      <c r="T100" s="271">
        <v>149</v>
      </c>
      <c r="U100" s="274">
        <v>3442</v>
      </c>
    </row>
    <row r="101" spans="6:21" s="57" customFormat="1">
      <c r="F101" s="263"/>
      <c r="G101" s="268">
        <v>8635150066</v>
      </c>
      <c r="H101" s="275" t="s">
        <v>53</v>
      </c>
      <c r="I101" s="271">
        <v>17</v>
      </c>
      <c r="J101" s="271">
        <v>20</v>
      </c>
      <c r="K101" s="271">
        <v>19</v>
      </c>
      <c r="L101" s="271">
        <v>28</v>
      </c>
      <c r="M101" s="271">
        <v>24</v>
      </c>
      <c r="N101" s="271">
        <v>27</v>
      </c>
      <c r="O101" s="271">
        <v>77</v>
      </c>
      <c r="P101" s="271">
        <v>3</v>
      </c>
      <c r="Q101" s="271">
        <v>68</v>
      </c>
      <c r="R101" s="271">
        <v>10</v>
      </c>
      <c r="S101" s="271">
        <v>12</v>
      </c>
      <c r="T101" s="271">
        <v>3</v>
      </c>
      <c r="U101" s="274">
        <v>308</v>
      </c>
    </row>
    <row r="102" spans="6:21" s="57" customFormat="1">
      <c r="F102" s="263"/>
      <c r="G102" s="269">
        <v>6663150208</v>
      </c>
      <c r="H102" s="275" t="s">
        <v>54</v>
      </c>
      <c r="I102" s="271">
        <v>9</v>
      </c>
      <c r="J102" s="271">
        <v>19</v>
      </c>
      <c r="K102" s="271">
        <v>21</v>
      </c>
      <c r="L102" s="271">
        <v>25</v>
      </c>
      <c r="M102" s="271">
        <v>21</v>
      </c>
      <c r="N102" s="271">
        <v>10</v>
      </c>
      <c r="O102" s="271">
        <v>9</v>
      </c>
      <c r="P102" s="271">
        <v>11</v>
      </c>
      <c r="Q102" s="271">
        <v>21</v>
      </c>
      <c r="R102" s="271">
        <v>25</v>
      </c>
      <c r="S102" s="271">
        <v>36</v>
      </c>
      <c r="T102" s="271">
        <v>42</v>
      </c>
      <c r="U102" s="274">
        <v>249</v>
      </c>
    </row>
    <row r="103" spans="6:21" s="57" customFormat="1">
      <c r="F103" s="263"/>
      <c r="G103" s="268">
        <v>6068150813</v>
      </c>
      <c r="H103" s="275" t="s">
        <v>55</v>
      </c>
      <c r="I103" s="271">
        <v>6</v>
      </c>
      <c r="J103" s="271">
        <v>17</v>
      </c>
      <c r="K103" s="271">
        <v>16</v>
      </c>
      <c r="L103" s="271">
        <v>40</v>
      </c>
      <c r="M103" s="271">
        <v>231</v>
      </c>
      <c r="N103" s="271">
        <v>127</v>
      </c>
      <c r="O103" s="271">
        <v>264</v>
      </c>
      <c r="P103" s="271">
        <v>228</v>
      </c>
      <c r="Q103" s="271">
        <v>267</v>
      </c>
      <c r="R103" s="271">
        <v>128</v>
      </c>
      <c r="S103" s="271">
        <v>80</v>
      </c>
      <c r="T103" s="271">
        <v>21</v>
      </c>
      <c r="U103" s="274">
        <v>1425</v>
      </c>
    </row>
    <row r="104" spans="6:21" s="57" customFormat="1">
      <c r="F104" s="263"/>
      <c r="G104" s="269">
        <v>5068150812</v>
      </c>
      <c r="H104" s="275" t="s">
        <v>56</v>
      </c>
      <c r="I104" s="271">
        <v>1</v>
      </c>
      <c r="J104" s="271">
        <v>7</v>
      </c>
      <c r="K104" s="271">
        <v>6</v>
      </c>
      <c r="L104" s="271">
        <v>10</v>
      </c>
      <c r="M104" s="271">
        <v>6</v>
      </c>
      <c r="N104" s="271">
        <v>4</v>
      </c>
      <c r="O104" s="271">
        <v>3</v>
      </c>
      <c r="P104" s="271">
        <v>5</v>
      </c>
      <c r="Q104" s="271">
        <v>7</v>
      </c>
      <c r="R104" s="271">
        <v>10</v>
      </c>
      <c r="S104" s="271">
        <v>11</v>
      </c>
      <c r="T104" s="271">
        <v>9</v>
      </c>
      <c r="U104" s="274">
        <v>79</v>
      </c>
    </row>
    <row r="105" spans="6:21" s="57" customFormat="1">
      <c r="F105" s="263"/>
      <c r="G105" s="269">
        <v>2364150700</v>
      </c>
      <c r="H105" s="275" t="s">
        <v>57</v>
      </c>
      <c r="I105" s="271">
        <v>34</v>
      </c>
      <c r="J105" s="271">
        <v>40</v>
      </c>
      <c r="K105" s="271">
        <v>34</v>
      </c>
      <c r="L105" s="271">
        <v>45</v>
      </c>
      <c r="M105" s="271">
        <v>30</v>
      </c>
      <c r="N105" s="271">
        <v>38</v>
      </c>
      <c r="O105" s="271">
        <v>40</v>
      </c>
      <c r="P105" s="271">
        <v>46</v>
      </c>
      <c r="Q105" s="271">
        <v>70</v>
      </c>
      <c r="R105" s="271">
        <v>52</v>
      </c>
      <c r="S105" s="271">
        <v>43</v>
      </c>
      <c r="T105" s="271">
        <v>38</v>
      </c>
      <c r="U105" s="274">
        <v>510</v>
      </c>
    </row>
    <row r="106" spans="6:21" s="57" customFormat="1">
      <c r="F106" s="263"/>
      <c r="G106" s="269">
        <v>1364150699</v>
      </c>
      <c r="H106" s="275" t="s">
        <v>58</v>
      </c>
      <c r="I106" s="271">
        <v>12</v>
      </c>
      <c r="J106" s="271">
        <v>45</v>
      </c>
      <c r="K106" s="271">
        <v>46</v>
      </c>
      <c r="L106" s="271">
        <v>52</v>
      </c>
      <c r="M106" s="271">
        <v>76</v>
      </c>
      <c r="N106" s="271">
        <v>68</v>
      </c>
      <c r="O106" s="271">
        <v>129</v>
      </c>
      <c r="P106" s="271">
        <v>113</v>
      </c>
      <c r="Q106" s="271">
        <v>139</v>
      </c>
      <c r="R106" s="271">
        <v>80</v>
      </c>
      <c r="S106" s="271">
        <v>66</v>
      </c>
      <c r="T106" s="271">
        <v>37</v>
      </c>
      <c r="U106" s="274">
        <v>863</v>
      </c>
    </row>
    <row r="107" spans="6:21" s="57" customFormat="1">
      <c r="F107" s="263"/>
      <c r="G107" s="268">
        <v>2068150809</v>
      </c>
      <c r="H107" s="275" t="s">
        <v>59</v>
      </c>
      <c r="I107" s="271">
        <v>0</v>
      </c>
      <c r="J107" s="271">
        <v>1</v>
      </c>
      <c r="K107" s="271">
        <v>1</v>
      </c>
      <c r="L107" s="271">
        <v>1</v>
      </c>
      <c r="M107" s="271">
        <v>1</v>
      </c>
      <c r="N107" s="271">
        <v>1</v>
      </c>
      <c r="O107" s="271">
        <v>1</v>
      </c>
      <c r="P107" s="271">
        <v>1</v>
      </c>
      <c r="Q107" s="271">
        <v>1</v>
      </c>
      <c r="R107" s="271">
        <v>1</v>
      </c>
      <c r="S107" s="271">
        <v>1</v>
      </c>
      <c r="T107" s="271">
        <v>0</v>
      </c>
      <c r="U107" s="274">
        <v>10</v>
      </c>
    </row>
    <row r="108" spans="6:21" s="57" customFormat="1">
      <c r="F108" s="263"/>
      <c r="G108" s="268">
        <v>5756250297</v>
      </c>
      <c r="H108" s="275" t="s">
        <v>60</v>
      </c>
      <c r="I108" s="269">
        <v>174</v>
      </c>
      <c r="J108" s="269">
        <v>359</v>
      </c>
      <c r="K108" s="269">
        <v>313</v>
      </c>
      <c r="L108" s="269">
        <v>410</v>
      </c>
      <c r="M108" s="269">
        <v>351</v>
      </c>
      <c r="N108" s="269">
        <v>203</v>
      </c>
      <c r="O108" s="269">
        <v>367</v>
      </c>
      <c r="P108" s="269">
        <v>455</v>
      </c>
      <c r="Q108" s="269">
        <v>650</v>
      </c>
      <c r="R108" s="269">
        <v>523</v>
      </c>
      <c r="S108" s="269">
        <v>415</v>
      </c>
      <c r="T108" s="269">
        <v>303</v>
      </c>
      <c r="U108" s="274">
        <v>4523</v>
      </c>
    </row>
    <row r="109" spans="6:21" s="57" customFormat="1">
      <c r="F109" s="263"/>
      <c r="G109" s="269">
        <v>1665911804</v>
      </c>
      <c r="H109" s="275" t="s">
        <v>61</v>
      </c>
      <c r="I109" s="271">
        <v>4</v>
      </c>
      <c r="J109" s="271">
        <v>5</v>
      </c>
      <c r="K109" s="271">
        <v>5</v>
      </c>
      <c r="L109" s="271">
        <v>7</v>
      </c>
      <c r="M109" s="271">
        <v>8</v>
      </c>
      <c r="N109" s="271">
        <v>2</v>
      </c>
      <c r="O109" s="271">
        <v>6</v>
      </c>
      <c r="P109" s="271">
        <v>7</v>
      </c>
      <c r="Q109" s="271">
        <v>17</v>
      </c>
      <c r="R109" s="271">
        <v>6</v>
      </c>
      <c r="S109" s="271">
        <v>15</v>
      </c>
      <c r="T109" s="271">
        <v>6</v>
      </c>
      <c r="U109" s="274">
        <v>88</v>
      </c>
    </row>
    <row r="110" spans="6:21" s="57" customFormat="1">
      <c r="F110" s="263"/>
      <c r="G110" s="269">
        <v>3054467971</v>
      </c>
      <c r="H110" s="275" t="s">
        <v>62</v>
      </c>
      <c r="I110" s="271">
        <v>10</v>
      </c>
      <c r="J110" s="271">
        <v>14</v>
      </c>
      <c r="K110" s="271">
        <v>18</v>
      </c>
      <c r="L110" s="271">
        <v>22</v>
      </c>
      <c r="M110" s="271">
        <v>18</v>
      </c>
      <c r="N110" s="271">
        <v>13</v>
      </c>
      <c r="O110" s="271">
        <v>38</v>
      </c>
      <c r="P110" s="271">
        <v>22</v>
      </c>
      <c r="Q110" s="271">
        <v>27</v>
      </c>
      <c r="R110" s="271">
        <v>26</v>
      </c>
      <c r="S110" s="271">
        <v>24</v>
      </c>
      <c r="T110" s="271">
        <v>23</v>
      </c>
      <c r="U110" s="274">
        <v>255</v>
      </c>
    </row>
    <row r="111" spans="6:21" s="57" customFormat="1">
      <c r="F111" s="263"/>
      <c r="G111" s="269">
        <v>3380811569</v>
      </c>
      <c r="H111" s="275" t="s">
        <v>63</v>
      </c>
      <c r="I111" s="271">
        <v>0</v>
      </c>
      <c r="J111" s="271">
        <v>0</v>
      </c>
      <c r="K111" s="271">
        <v>0</v>
      </c>
      <c r="L111" s="271">
        <v>1</v>
      </c>
      <c r="M111" s="271">
        <v>0</v>
      </c>
      <c r="N111" s="271">
        <v>0</v>
      </c>
      <c r="O111" s="271">
        <v>1</v>
      </c>
      <c r="P111" s="271">
        <v>0</v>
      </c>
      <c r="Q111" s="271">
        <v>1</v>
      </c>
      <c r="R111" s="271">
        <v>0</v>
      </c>
      <c r="S111" s="271">
        <v>1</v>
      </c>
      <c r="T111" s="271">
        <v>1</v>
      </c>
      <c r="U111" s="274">
        <v>5</v>
      </c>
    </row>
    <row r="112" spans="6:21" s="57" customFormat="1">
      <c r="F112" s="263"/>
      <c r="G112" s="263"/>
      <c r="H112" s="263"/>
      <c r="I112" s="273">
        <v>684</v>
      </c>
      <c r="J112" s="273">
        <v>1292</v>
      </c>
      <c r="K112" s="273">
        <v>1195</v>
      </c>
      <c r="L112" s="273">
        <v>1528</v>
      </c>
      <c r="M112" s="273">
        <v>1719</v>
      </c>
      <c r="N112" s="273">
        <v>991</v>
      </c>
      <c r="O112" s="273">
        <v>1569</v>
      </c>
      <c r="P112" s="273">
        <v>1556</v>
      </c>
      <c r="Q112" s="273">
        <v>2389</v>
      </c>
      <c r="R112" s="273">
        <v>1718</v>
      </c>
      <c r="S112" s="273">
        <v>1396</v>
      </c>
      <c r="T112" s="273">
        <v>1244</v>
      </c>
      <c r="U112" s="271">
        <v>17281</v>
      </c>
    </row>
    <row r="113" spans="6:21" s="57" customFormat="1"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6:21" s="57" customFormat="1">
      <c r="F114" s="263"/>
      <c r="G114" s="263"/>
      <c r="H114" s="270" t="s">
        <v>64</v>
      </c>
      <c r="I114" s="271">
        <v>684000</v>
      </c>
      <c r="J114" s="271">
        <v>1292000</v>
      </c>
      <c r="K114" s="271">
        <v>1195000</v>
      </c>
      <c r="L114" s="271">
        <v>1528000</v>
      </c>
      <c r="M114" s="271">
        <v>1719000</v>
      </c>
      <c r="N114" s="271">
        <v>991000</v>
      </c>
      <c r="O114" s="271">
        <v>1569000</v>
      </c>
      <c r="P114" s="271">
        <v>1556000</v>
      </c>
      <c r="Q114" s="271">
        <v>2389000</v>
      </c>
      <c r="R114" s="271">
        <v>1718000</v>
      </c>
      <c r="S114" s="271">
        <v>1396000</v>
      </c>
      <c r="T114" s="271">
        <v>1244000</v>
      </c>
      <c r="U114" s="271">
        <v>17281000</v>
      </c>
    </row>
    <row r="115" spans="6:21" s="57" customFormat="1"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6:21" s="57" customFormat="1">
      <c r="F116" s="79"/>
      <c r="G116" s="79"/>
      <c r="H116" s="79"/>
      <c r="I116" s="79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9"/>
    </row>
    <row r="117" spans="6:21" s="57" customFormat="1">
      <c r="F117" s="287" t="s">
        <v>72</v>
      </c>
      <c r="G117" s="278">
        <v>2023</v>
      </c>
      <c r="H117" s="279"/>
      <c r="I117" s="279"/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</row>
    <row r="118" spans="6:21" s="57" customFormat="1" ht="15.75" thickBot="1">
      <c r="F118" s="280" t="s">
        <v>30</v>
      </c>
      <c r="G118" s="281" t="s">
        <v>31</v>
      </c>
      <c r="H118" s="281" t="s">
        <v>32</v>
      </c>
      <c r="I118" s="281" t="s">
        <v>33</v>
      </c>
      <c r="J118" s="281" t="s">
        <v>34</v>
      </c>
      <c r="K118" s="281" t="s">
        <v>35</v>
      </c>
      <c r="L118" s="281" t="s">
        <v>36</v>
      </c>
      <c r="M118" s="281" t="s">
        <v>37</v>
      </c>
      <c r="N118" s="281" t="s">
        <v>38</v>
      </c>
      <c r="O118" s="281" t="s">
        <v>39</v>
      </c>
      <c r="P118" s="281" t="s">
        <v>40</v>
      </c>
      <c r="Q118" s="281" t="s">
        <v>41</v>
      </c>
      <c r="R118" s="281" t="s">
        <v>42</v>
      </c>
      <c r="S118" s="281" t="s">
        <v>43</v>
      </c>
      <c r="T118" s="281" t="s">
        <v>44</v>
      </c>
      <c r="U118" s="282" t="s">
        <v>100</v>
      </c>
    </row>
    <row r="119" spans="6:21" s="57" customFormat="1">
      <c r="F119" s="277"/>
      <c r="G119" s="283">
        <v>7534810685</v>
      </c>
      <c r="H119" s="290" t="s">
        <v>45</v>
      </c>
      <c r="I119" s="286">
        <v>12</v>
      </c>
      <c r="J119" s="286">
        <v>13</v>
      </c>
      <c r="K119" s="286">
        <v>16</v>
      </c>
      <c r="L119" s="286">
        <v>14</v>
      </c>
      <c r="M119" s="286">
        <v>16</v>
      </c>
      <c r="N119" s="286">
        <v>13</v>
      </c>
      <c r="O119" s="286">
        <v>14</v>
      </c>
      <c r="P119" s="286">
        <v>13</v>
      </c>
      <c r="Q119" s="286">
        <v>18</v>
      </c>
      <c r="R119" s="286">
        <v>16</v>
      </c>
      <c r="S119" s="286">
        <v>14</v>
      </c>
      <c r="T119" s="286">
        <v>16</v>
      </c>
      <c r="U119" s="289">
        <v>175</v>
      </c>
    </row>
    <row r="120" spans="6:21" s="57" customFormat="1">
      <c r="F120" s="277"/>
      <c r="G120" s="283">
        <v>4366050935</v>
      </c>
      <c r="H120" s="290" t="s">
        <v>46</v>
      </c>
      <c r="I120" s="286">
        <v>12</v>
      </c>
      <c r="J120" s="286">
        <v>42</v>
      </c>
      <c r="K120" s="286">
        <v>48</v>
      </c>
      <c r="L120" s="286">
        <v>38</v>
      </c>
      <c r="M120" s="286">
        <v>23</v>
      </c>
      <c r="N120" s="286">
        <v>1</v>
      </c>
      <c r="O120" s="286">
        <v>0</v>
      </c>
      <c r="P120" s="286">
        <v>1</v>
      </c>
      <c r="Q120" s="286">
        <v>27</v>
      </c>
      <c r="R120" s="286">
        <v>27</v>
      </c>
      <c r="S120" s="286">
        <v>22</v>
      </c>
      <c r="T120" s="286">
        <v>34</v>
      </c>
      <c r="U120" s="289">
        <v>275</v>
      </c>
    </row>
    <row r="121" spans="6:21" s="57" customFormat="1">
      <c r="F121" s="277"/>
      <c r="G121" s="283">
        <v>6366050937</v>
      </c>
      <c r="H121" s="290" t="s">
        <v>47</v>
      </c>
      <c r="I121" s="286">
        <v>3</v>
      </c>
      <c r="J121" s="286">
        <v>20</v>
      </c>
      <c r="K121" s="286">
        <v>21</v>
      </c>
      <c r="L121" s="286">
        <v>19</v>
      </c>
      <c r="M121" s="286">
        <v>13</v>
      </c>
      <c r="N121" s="286">
        <v>12</v>
      </c>
      <c r="O121" s="286">
        <v>16</v>
      </c>
      <c r="P121" s="286">
        <v>11</v>
      </c>
      <c r="Q121" s="286">
        <v>17</v>
      </c>
      <c r="R121" s="286">
        <v>18</v>
      </c>
      <c r="S121" s="286">
        <v>19</v>
      </c>
      <c r="T121" s="286">
        <v>20</v>
      </c>
      <c r="U121" s="289">
        <v>189</v>
      </c>
    </row>
    <row r="122" spans="6:21" s="57" customFormat="1">
      <c r="F122" s="277"/>
      <c r="G122" s="283">
        <v>7366050938</v>
      </c>
      <c r="H122" s="290" t="s">
        <v>48</v>
      </c>
      <c r="I122" s="286">
        <v>65</v>
      </c>
      <c r="J122" s="286">
        <v>53</v>
      </c>
      <c r="K122" s="286">
        <v>53</v>
      </c>
      <c r="L122" s="286">
        <v>47</v>
      </c>
      <c r="M122" s="286">
        <v>41</v>
      </c>
      <c r="N122" s="286">
        <v>27</v>
      </c>
      <c r="O122" s="286">
        <v>33</v>
      </c>
      <c r="P122" s="286">
        <v>31</v>
      </c>
      <c r="Q122" s="286">
        <v>38</v>
      </c>
      <c r="R122" s="286">
        <v>56</v>
      </c>
      <c r="S122" s="286">
        <v>48</v>
      </c>
      <c r="T122" s="286">
        <v>33</v>
      </c>
      <c r="U122" s="289">
        <v>525</v>
      </c>
    </row>
    <row r="123" spans="6:21" s="57" customFormat="1">
      <c r="F123" s="277"/>
      <c r="G123" s="283">
        <v>3366050934</v>
      </c>
      <c r="H123" s="290" t="s">
        <v>49</v>
      </c>
      <c r="I123" s="286">
        <v>95</v>
      </c>
      <c r="J123" s="286">
        <v>235</v>
      </c>
      <c r="K123" s="286">
        <v>289</v>
      </c>
      <c r="L123" s="286">
        <v>335</v>
      </c>
      <c r="M123" s="286">
        <v>313</v>
      </c>
      <c r="N123" s="286">
        <v>128</v>
      </c>
      <c r="O123" s="286">
        <v>33</v>
      </c>
      <c r="P123" s="286">
        <v>24</v>
      </c>
      <c r="Q123" s="286">
        <v>80</v>
      </c>
      <c r="R123" s="286">
        <v>81</v>
      </c>
      <c r="S123" s="286">
        <v>86</v>
      </c>
      <c r="T123" s="286">
        <v>86</v>
      </c>
      <c r="U123" s="289">
        <v>1785</v>
      </c>
    </row>
    <row r="124" spans="6:21" s="57" customFormat="1">
      <c r="F124" s="277"/>
      <c r="G124" s="283">
        <v>5581150299</v>
      </c>
      <c r="H124" s="290" t="s">
        <v>50</v>
      </c>
      <c r="I124" s="286">
        <v>29</v>
      </c>
      <c r="J124" s="286">
        <v>136</v>
      </c>
      <c r="K124" s="286">
        <v>120</v>
      </c>
      <c r="L124" s="286">
        <v>137</v>
      </c>
      <c r="M124" s="286">
        <v>81</v>
      </c>
      <c r="N124" s="286">
        <v>10</v>
      </c>
      <c r="O124" s="286">
        <v>9</v>
      </c>
      <c r="P124" s="286">
        <v>20</v>
      </c>
      <c r="Q124" s="286">
        <v>126</v>
      </c>
      <c r="R124" s="286">
        <v>138</v>
      </c>
      <c r="S124" s="286">
        <v>138</v>
      </c>
      <c r="T124" s="286">
        <v>121</v>
      </c>
      <c r="U124" s="289">
        <v>1065</v>
      </c>
    </row>
    <row r="125" spans="6:21" s="57" customFormat="1">
      <c r="F125" s="277"/>
      <c r="G125" s="283">
        <v>5366050936</v>
      </c>
      <c r="H125" s="290" t="s">
        <v>51</v>
      </c>
      <c r="I125" s="286">
        <v>102</v>
      </c>
      <c r="J125" s="286">
        <v>216</v>
      </c>
      <c r="K125" s="286">
        <v>25</v>
      </c>
      <c r="L125" s="286">
        <v>21</v>
      </c>
      <c r="M125" s="286">
        <v>22</v>
      </c>
      <c r="N125" s="286">
        <v>15</v>
      </c>
      <c r="O125" s="286">
        <v>26</v>
      </c>
      <c r="P125" s="286">
        <v>15</v>
      </c>
      <c r="Q125" s="286">
        <v>36</v>
      </c>
      <c r="R125" s="286">
        <v>41</v>
      </c>
      <c r="S125" s="286">
        <v>39</v>
      </c>
      <c r="T125" s="286">
        <v>33</v>
      </c>
      <c r="U125" s="289">
        <v>591</v>
      </c>
    </row>
    <row r="126" spans="6:21" s="57" customFormat="1">
      <c r="F126" s="277"/>
      <c r="G126" s="283">
        <v>2052150585</v>
      </c>
      <c r="H126" s="290" t="s">
        <v>52</v>
      </c>
      <c r="I126" s="286">
        <v>45</v>
      </c>
      <c r="J126" s="286">
        <v>171</v>
      </c>
      <c r="K126" s="286">
        <v>221</v>
      </c>
      <c r="L126" s="286">
        <v>271</v>
      </c>
      <c r="M126" s="286">
        <v>278</v>
      </c>
      <c r="N126" s="286">
        <v>116</v>
      </c>
      <c r="O126" s="286">
        <v>194</v>
      </c>
      <c r="P126" s="286">
        <v>361</v>
      </c>
      <c r="Q126" s="286">
        <v>478</v>
      </c>
      <c r="R126" s="286">
        <v>514</v>
      </c>
      <c r="S126" s="286">
        <v>302</v>
      </c>
      <c r="T126" s="286">
        <v>267</v>
      </c>
      <c r="U126" s="289">
        <v>3218</v>
      </c>
    </row>
    <row r="127" spans="6:21" s="57" customFormat="1">
      <c r="F127" s="277"/>
      <c r="G127" s="283">
        <v>8635150066</v>
      </c>
      <c r="H127" s="290" t="s">
        <v>53</v>
      </c>
      <c r="I127" s="286">
        <v>1</v>
      </c>
      <c r="J127" s="286">
        <v>11</v>
      </c>
      <c r="K127" s="286">
        <v>6</v>
      </c>
      <c r="L127" s="286">
        <v>9</v>
      </c>
      <c r="M127" s="286">
        <v>10</v>
      </c>
      <c r="N127" s="286">
        <v>8</v>
      </c>
      <c r="O127" s="286">
        <v>3</v>
      </c>
      <c r="P127" s="286">
        <v>4</v>
      </c>
      <c r="Q127" s="286">
        <v>29</v>
      </c>
      <c r="R127" s="286">
        <v>20</v>
      </c>
      <c r="S127" s="286">
        <v>3</v>
      </c>
      <c r="T127" s="286">
        <v>3</v>
      </c>
      <c r="U127" s="289">
        <v>107</v>
      </c>
    </row>
    <row r="128" spans="6:21" s="57" customFormat="1">
      <c r="F128" s="277"/>
      <c r="G128" s="284">
        <v>6663150208</v>
      </c>
      <c r="H128" s="290" t="s">
        <v>54</v>
      </c>
      <c r="I128" s="286">
        <v>26</v>
      </c>
      <c r="J128" s="286">
        <v>20</v>
      </c>
      <c r="K128" s="286">
        <v>22</v>
      </c>
      <c r="L128" s="286">
        <v>21</v>
      </c>
      <c r="M128" s="286">
        <v>18</v>
      </c>
      <c r="N128" s="286">
        <v>10</v>
      </c>
      <c r="O128" s="286">
        <v>9</v>
      </c>
      <c r="P128" s="286">
        <v>17</v>
      </c>
      <c r="Q128" s="286">
        <v>21</v>
      </c>
      <c r="R128" s="286">
        <v>36</v>
      </c>
      <c r="S128" s="286">
        <v>23</v>
      </c>
      <c r="T128" s="286">
        <v>21</v>
      </c>
      <c r="U128" s="289">
        <v>244</v>
      </c>
    </row>
    <row r="129" spans="6:21" s="57" customFormat="1">
      <c r="F129" s="277"/>
      <c r="G129" s="283">
        <v>6068150813</v>
      </c>
      <c r="H129" s="290" t="s">
        <v>55</v>
      </c>
      <c r="I129" s="286">
        <v>6</v>
      </c>
      <c r="J129" s="286">
        <v>24</v>
      </c>
      <c r="K129" s="286">
        <v>20</v>
      </c>
      <c r="L129" s="286">
        <v>32</v>
      </c>
      <c r="M129" s="286">
        <v>104</v>
      </c>
      <c r="N129" s="286">
        <v>72</v>
      </c>
      <c r="O129" s="286">
        <v>112</v>
      </c>
      <c r="P129" s="286">
        <v>220</v>
      </c>
      <c r="Q129" s="286">
        <v>224</v>
      </c>
      <c r="R129" s="286">
        <v>196</v>
      </c>
      <c r="S129" s="286">
        <v>27</v>
      </c>
      <c r="T129" s="286">
        <v>19</v>
      </c>
      <c r="U129" s="289">
        <v>1056</v>
      </c>
    </row>
    <row r="130" spans="6:21" s="57" customFormat="1">
      <c r="F130" s="277"/>
      <c r="G130" s="284">
        <v>5068150812</v>
      </c>
      <c r="H130" s="290" t="s">
        <v>56</v>
      </c>
      <c r="I130" s="286">
        <v>7</v>
      </c>
      <c r="J130" s="286">
        <v>18</v>
      </c>
      <c r="K130" s="286">
        <v>10</v>
      </c>
      <c r="L130" s="286">
        <v>11</v>
      </c>
      <c r="M130" s="286">
        <v>8</v>
      </c>
      <c r="N130" s="286">
        <v>6</v>
      </c>
      <c r="O130" s="286">
        <v>2</v>
      </c>
      <c r="P130" s="286">
        <v>7</v>
      </c>
      <c r="Q130" s="286">
        <v>10</v>
      </c>
      <c r="R130" s="286">
        <v>11</v>
      </c>
      <c r="S130" s="286">
        <v>11</v>
      </c>
      <c r="T130" s="286">
        <v>11</v>
      </c>
      <c r="U130" s="289">
        <v>112</v>
      </c>
    </row>
    <row r="131" spans="6:21" s="57" customFormat="1">
      <c r="F131" s="277"/>
      <c r="G131" s="284">
        <v>2364150700</v>
      </c>
      <c r="H131" s="290" t="s">
        <v>57</v>
      </c>
      <c r="I131" s="286">
        <v>30</v>
      </c>
      <c r="J131" s="286">
        <v>50</v>
      </c>
      <c r="K131" s="286">
        <v>58</v>
      </c>
      <c r="L131" s="286">
        <v>45</v>
      </c>
      <c r="M131" s="286">
        <v>51</v>
      </c>
      <c r="N131" s="286">
        <v>39</v>
      </c>
      <c r="O131" s="286">
        <v>51</v>
      </c>
      <c r="P131" s="286">
        <v>53</v>
      </c>
      <c r="Q131" s="286">
        <v>77</v>
      </c>
      <c r="R131" s="286">
        <v>58</v>
      </c>
      <c r="S131" s="286">
        <v>60</v>
      </c>
      <c r="T131" s="286">
        <v>40</v>
      </c>
      <c r="U131" s="289">
        <v>612</v>
      </c>
    </row>
    <row r="132" spans="6:21" s="57" customFormat="1">
      <c r="F132" s="277"/>
      <c r="G132" s="284">
        <v>1364150699</v>
      </c>
      <c r="H132" s="290" t="s">
        <v>58</v>
      </c>
      <c r="I132" s="286">
        <v>13</v>
      </c>
      <c r="J132" s="286">
        <v>96</v>
      </c>
      <c r="K132" s="286">
        <v>49</v>
      </c>
      <c r="L132" s="286">
        <v>49</v>
      </c>
      <c r="M132" s="286">
        <v>29</v>
      </c>
      <c r="N132" s="286">
        <v>6</v>
      </c>
      <c r="O132" s="286">
        <v>44</v>
      </c>
      <c r="P132" s="286">
        <v>107</v>
      </c>
      <c r="Q132" s="286">
        <v>149</v>
      </c>
      <c r="R132" s="286">
        <v>142</v>
      </c>
      <c r="S132" s="286">
        <v>86</v>
      </c>
      <c r="T132" s="286">
        <v>65</v>
      </c>
      <c r="U132" s="289">
        <v>835</v>
      </c>
    </row>
    <row r="133" spans="6:21" s="57" customFormat="1">
      <c r="F133" s="277"/>
      <c r="G133" s="283">
        <v>2068150809</v>
      </c>
      <c r="H133" s="290" t="s">
        <v>59</v>
      </c>
      <c r="I133" s="286">
        <v>1</v>
      </c>
      <c r="J133" s="286">
        <v>1</v>
      </c>
      <c r="K133" s="286">
        <v>7</v>
      </c>
      <c r="L133" s="286">
        <v>2</v>
      </c>
      <c r="M133" s="286">
        <v>2</v>
      </c>
      <c r="N133" s="286">
        <v>0</v>
      </c>
      <c r="O133" s="286">
        <v>1</v>
      </c>
      <c r="P133" s="286">
        <v>1</v>
      </c>
      <c r="Q133" s="286">
        <v>2</v>
      </c>
      <c r="R133" s="286">
        <v>1</v>
      </c>
      <c r="S133" s="286">
        <v>1</v>
      </c>
      <c r="T133" s="286">
        <v>2</v>
      </c>
      <c r="U133" s="289">
        <v>21</v>
      </c>
    </row>
    <row r="134" spans="6:21" s="57" customFormat="1">
      <c r="F134" s="277"/>
      <c r="G134" s="283">
        <v>5756250297</v>
      </c>
      <c r="H134" s="290" t="s">
        <v>60</v>
      </c>
      <c r="I134" s="284">
        <v>165</v>
      </c>
      <c r="J134" s="284">
        <v>323</v>
      </c>
      <c r="K134" s="284">
        <v>328</v>
      </c>
      <c r="L134" s="284">
        <v>451</v>
      </c>
      <c r="M134" s="284">
        <v>421</v>
      </c>
      <c r="N134" s="284">
        <v>321</v>
      </c>
      <c r="O134" s="284">
        <v>360</v>
      </c>
      <c r="P134" s="284">
        <v>534</v>
      </c>
      <c r="Q134" s="284">
        <v>682</v>
      </c>
      <c r="R134" s="284">
        <v>498</v>
      </c>
      <c r="S134" s="284">
        <v>373</v>
      </c>
      <c r="T134" s="284">
        <v>313</v>
      </c>
      <c r="U134" s="289">
        <v>4769</v>
      </c>
    </row>
    <row r="135" spans="6:21" s="57" customFormat="1">
      <c r="F135" s="277"/>
      <c r="G135" s="284">
        <v>1665911804</v>
      </c>
      <c r="H135" s="290" t="s">
        <v>61</v>
      </c>
      <c r="I135" s="286">
        <v>7</v>
      </c>
      <c r="J135" s="286">
        <v>17</v>
      </c>
      <c r="K135" s="286">
        <v>14</v>
      </c>
      <c r="L135" s="286">
        <v>16</v>
      </c>
      <c r="M135" s="286">
        <v>10</v>
      </c>
      <c r="N135" s="286">
        <v>8</v>
      </c>
      <c r="O135" s="286">
        <v>17</v>
      </c>
      <c r="P135" s="286">
        <v>23</v>
      </c>
      <c r="Q135" s="286">
        <v>3</v>
      </c>
      <c r="R135" s="286">
        <v>4</v>
      </c>
      <c r="S135" s="286">
        <v>3</v>
      </c>
      <c r="T135" s="286">
        <v>4</v>
      </c>
      <c r="U135" s="289">
        <v>126</v>
      </c>
    </row>
    <row r="136" spans="6:21" s="57" customFormat="1">
      <c r="F136" s="277"/>
      <c r="G136" s="284">
        <v>3054467971</v>
      </c>
      <c r="H136" s="290" t="s">
        <v>62</v>
      </c>
      <c r="I136" s="286">
        <v>15</v>
      </c>
      <c r="J136" s="286">
        <v>27</v>
      </c>
      <c r="K136" s="286">
        <v>28</v>
      </c>
      <c r="L136" s="286">
        <v>29</v>
      </c>
      <c r="M136" s="286">
        <v>29</v>
      </c>
      <c r="N136" s="286">
        <v>22</v>
      </c>
      <c r="O136" s="286">
        <v>27</v>
      </c>
      <c r="P136" s="286">
        <v>25</v>
      </c>
      <c r="Q136" s="286">
        <v>36</v>
      </c>
      <c r="R136" s="286">
        <v>34</v>
      </c>
      <c r="S136" s="286">
        <v>30</v>
      </c>
      <c r="T136" s="286">
        <v>30</v>
      </c>
      <c r="U136" s="289">
        <v>332</v>
      </c>
    </row>
    <row r="137" spans="6:21" s="57" customFormat="1">
      <c r="F137" s="277"/>
      <c r="G137" s="284">
        <v>3380811569</v>
      </c>
      <c r="H137" s="290" t="s">
        <v>63</v>
      </c>
      <c r="I137" s="286">
        <v>0</v>
      </c>
      <c r="J137" s="286">
        <v>1</v>
      </c>
      <c r="K137" s="286">
        <v>1</v>
      </c>
      <c r="L137" s="286">
        <v>0</v>
      </c>
      <c r="M137" s="286">
        <v>1</v>
      </c>
      <c r="N137" s="286">
        <v>0</v>
      </c>
      <c r="O137" s="286">
        <v>1</v>
      </c>
      <c r="P137" s="286">
        <v>0</v>
      </c>
      <c r="Q137" s="286">
        <v>1</v>
      </c>
      <c r="R137" s="286">
        <v>2</v>
      </c>
      <c r="S137" s="286">
        <v>1</v>
      </c>
      <c r="T137" s="286">
        <v>1</v>
      </c>
      <c r="U137" s="289">
        <v>9</v>
      </c>
    </row>
    <row r="138" spans="6:21" s="57" customFormat="1">
      <c r="F138" s="277"/>
      <c r="G138" s="279"/>
      <c r="H138" s="279"/>
      <c r="I138" s="288">
        <v>634</v>
      </c>
      <c r="J138" s="288">
        <v>1474</v>
      </c>
      <c r="K138" s="288">
        <v>1336</v>
      </c>
      <c r="L138" s="288">
        <v>1547</v>
      </c>
      <c r="M138" s="288">
        <v>1470</v>
      </c>
      <c r="N138" s="288">
        <v>814</v>
      </c>
      <c r="O138" s="288">
        <v>952</v>
      </c>
      <c r="P138" s="288">
        <v>1467</v>
      </c>
      <c r="Q138" s="288">
        <v>2054</v>
      </c>
      <c r="R138" s="288">
        <v>1893</v>
      </c>
      <c r="S138" s="288">
        <v>1286</v>
      </c>
      <c r="T138" s="288">
        <v>1119</v>
      </c>
      <c r="U138" s="286">
        <v>16046</v>
      </c>
    </row>
    <row r="139" spans="6:21" s="57" customFormat="1">
      <c r="F139" s="277"/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  <c r="U139" s="279"/>
    </row>
    <row r="140" spans="6:21" s="57" customFormat="1">
      <c r="F140" s="277"/>
      <c r="G140" s="279"/>
      <c r="H140" s="285" t="s">
        <v>64</v>
      </c>
      <c r="I140" s="286">
        <v>634000</v>
      </c>
      <c r="J140" s="286">
        <v>1474000</v>
      </c>
      <c r="K140" s="286">
        <v>1336000</v>
      </c>
      <c r="L140" s="286">
        <v>1547000</v>
      </c>
      <c r="M140" s="286">
        <v>1470000</v>
      </c>
      <c r="N140" s="286">
        <v>814000</v>
      </c>
      <c r="O140" s="286">
        <v>952000</v>
      </c>
      <c r="P140" s="286">
        <v>1467000</v>
      </c>
      <c r="Q140" s="286">
        <v>2054000</v>
      </c>
      <c r="R140" s="286">
        <v>1893000</v>
      </c>
      <c r="S140" s="286">
        <v>1286000</v>
      </c>
      <c r="T140" s="286">
        <v>1119000</v>
      </c>
      <c r="U140" s="286">
        <v>16046000</v>
      </c>
    </row>
    <row r="141" spans="6:21" s="57" customFormat="1"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6:21" s="57" customFormat="1">
      <c r="F142" s="79"/>
      <c r="G142" s="79"/>
      <c r="H142" s="79"/>
      <c r="I142" s="79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9"/>
    </row>
    <row r="143" spans="6:21">
      <c r="F143" s="58" t="s">
        <v>72</v>
      </c>
      <c r="G143" s="60">
        <v>2024</v>
      </c>
    </row>
    <row r="144" spans="6:21" ht="15.75" thickBot="1">
      <c r="F144" s="59" t="s">
        <v>30</v>
      </c>
      <c r="G144" s="22" t="s">
        <v>31</v>
      </c>
      <c r="H144" s="23" t="s">
        <v>32</v>
      </c>
      <c r="I144" s="24" t="s">
        <v>33</v>
      </c>
      <c r="J144" s="25" t="s">
        <v>34</v>
      </c>
      <c r="K144" s="26" t="s">
        <v>35</v>
      </c>
      <c r="L144" s="26" t="s">
        <v>36</v>
      </c>
      <c r="M144" s="26" t="s">
        <v>37</v>
      </c>
      <c r="N144" s="26" t="s">
        <v>38</v>
      </c>
      <c r="O144" s="26" t="s">
        <v>39</v>
      </c>
      <c r="P144" s="26" t="s">
        <v>40</v>
      </c>
      <c r="Q144" s="26" t="s">
        <v>41</v>
      </c>
      <c r="R144" s="26" t="s">
        <v>42</v>
      </c>
      <c r="S144" s="26" t="s">
        <v>43</v>
      </c>
      <c r="T144" s="26" t="s">
        <v>44</v>
      </c>
      <c r="U144" s="81" t="s">
        <v>100</v>
      </c>
    </row>
    <row r="145" spans="6:21">
      <c r="G145" s="27">
        <v>7534810685</v>
      </c>
      <c r="H145" s="30" t="s">
        <v>45</v>
      </c>
      <c r="I145" s="31">
        <v>11</v>
      </c>
      <c r="J145" s="33">
        <v>18</v>
      </c>
      <c r="K145" s="35">
        <v>20</v>
      </c>
      <c r="L145" s="37">
        <v>19</v>
      </c>
      <c r="M145" s="39">
        <v>14</v>
      </c>
      <c r="N145" s="41">
        <v>15</v>
      </c>
      <c r="O145" s="43">
        <v>11</v>
      </c>
      <c r="P145" s="45">
        <v>11</v>
      </c>
      <c r="Q145" s="47">
        <v>16</v>
      </c>
      <c r="R145" s="49">
        <v>10</v>
      </c>
      <c r="S145" s="51">
        <v>9</v>
      </c>
      <c r="T145" s="53">
        <v>8</v>
      </c>
      <c r="U145" s="82">
        <f>SUM(I145:T145)</f>
        <v>162</v>
      </c>
    </row>
    <row r="146" spans="6:21">
      <c r="G146" s="27">
        <v>4366050935</v>
      </c>
      <c r="H146" s="30" t="s">
        <v>46</v>
      </c>
      <c r="I146" s="31">
        <v>3</v>
      </c>
      <c r="J146" s="33">
        <v>23</v>
      </c>
      <c r="K146" s="35">
        <v>24</v>
      </c>
      <c r="L146" s="37">
        <v>23</v>
      </c>
      <c r="M146" s="39">
        <v>24</v>
      </c>
      <c r="N146" s="41">
        <v>17</v>
      </c>
      <c r="O146" s="43">
        <v>36</v>
      </c>
      <c r="P146" s="45">
        <v>15</v>
      </c>
      <c r="Q146" s="47">
        <v>47</v>
      </c>
      <c r="R146" s="49">
        <v>47</v>
      </c>
      <c r="S146" s="51">
        <v>48</v>
      </c>
      <c r="T146" s="53">
        <v>108</v>
      </c>
      <c r="U146" s="82">
        <f t="shared" ref="U146:U164" si="2">SUM(I146:T146)</f>
        <v>415</v>
      </c>
    </row>
    <row r="147" spans="6:21">
      <c r="G147" s="27">
        <v>6366050937</v>
      </c>
      <c r="H147" s="30" t="s">
        <v>47</v>
      </c>
      <c r="I147" s="31">
        <v>0</v>
      </c>
      <c r="J147" s="33">
        <v>12</v>
      </c>
      <c r="K147" s="35">
        <v>13</v>
      </c>
      <c r="L147" s="37">
        <v>13</v>
      </c>
      <c r="M147" s="39">
        <v>13</v>
      </c>
      <c r="N147" s="41">
        <v>64</v>
      </c>
      <c r="O147" s="43">
        <v>0</v>
      </c>
      <c r="P147" s="45">
        <v>1</v>
      </c>
      <c r="Q147" s="47">
        <v>15</v>
      </c>
      <c r="R147" s="49">
        <v>48</v>
      </c>
      <c r="S147" s="51">
        <v>22</v>
      </c>
      <c r="T147" s="53">
        <v>20</v>
      </c>
      <c r="U147" s="82">
        <f t="shared" si="2"/>
        <v>221</v>
      </c>
    </row>
    <row r="148" spans="6:21">
      <c r="G148" s="27">
        <v>7366050938</v>
      </c>
      <c r="H148" s="30" t="s">
        <v>48</v>
      </c>
      <c r="I148" s="31">
        <v>16</v>
      </c>
      <c r="J148" s="33">
        <v>29</v>
      </c>
      <c r="K148" s="35">
        <v>26</v>
      </c>
      <c r="L148" s="37">
        <v>42</v>
      </c>
      <c r="M148" s="39">
        <v>56</v>
      </c>
      <c r="N148" s="41">
        <v>13</v>
      </c>
      <c r="O148" s="43">
        <v>19</v>
      </c>
      <c r="P148" s="45">
        <v>40</v>
      </c>
      <c r="Q148" s="47">
        <v>40</v>
      </c>
      <c r="R148" s="49">
        <v>25</v>
      </c>
      <c r="S148" s="51">
        <v>36</v>
      </c>
      <c r="T148" s="53">
        <v>41</v>
      </c>
      <c r="U148" s="82">
        <f t="shared" si="2"/>
        <v>383</v>
      </c>
    </row>
    <row r="149" spans="6:21">
      <c r="G149" s="27">
        <v>3366050934</v>
      </c>
      <c r="H149" s="30" t="s">
        <v>49</v>
      </c>
      <c r="I149" s="31">
        <v>37</v>
      </c>
      <c r="J149" s="33">
        <v>98</v>
      </c>
      <c r="K149" s="35">
        <v>80</v>
      </c>
      <c r="L149" s="37">
        <v>87</v>
      </c>
      <c r="M149" s="39">
        <v>78</v>
      </c>
      <c r="N149" s="41">
        <v>23</v>
      </c>
      <c r="O149" s="43">
        <v>15</v>
      </c>
      <c r="P149" s="45">
        <v>18</v>
      </c>
      <c r="Q149" s="47">
        <v>63</v>
      </c>
      <c r="R149" s="49">
        <v>99</v>
      </c>
      <c r="S149" s="51">
        <v>216</v>
      </c>
      <c r="T149" s="53">
        <v>96</v>
      </c>
      <c r="U149" s="82">
        <f t="shared" si="2"/>
        <v>910</v>
      </c>
    </row>
    <row r="150" spans="6:21">
      <c r="G150" s="28">
        <v>5581150299</v>
      </c>
      <c r="H150" s="30" t="s">
        <v>50</v>
      </c>
      <c r="I150" s="31">
        <v>7</v>
      </c>
      <c r="J150" s="33">
        <v>186</v>
      </c>
      <c r="K150" s="35">
        <v>206</v>
      </c>
      <c r="L150" s="37">
        <v>278</v>
      </c>
      <c r="M150" s="39">
        <v>223</v>
      </c>
      <c r="N150" s="41">
        <v>128</v>
      </c>
      <c r="O150" s="43">
        <v>64</v>
      </c>
      <c r="P150" s="45">
        <v>10</v>
      </c>
      <c r="Q150" s="47">
        <v>122</v>
      </c>
      <c r="R150" s="49">
        <v>144</v>
      </c>
      <c r="S150" s="51">
        <v>153</v>
      </c>
      <c r="T150" s="53">
        <v>139</v>
      </c>
      <c r="U150" s="82">
        <f t="shared" si="2"/>
        <v>1660</v>
      </c>
    </row>
    <row r="151" spans="6:21">
      <c r="G151" s="28">
        <v>5366050936</v>
      </c>
      <c r="H151" s="30" t="s">
        <v>51</v>
      </c>
      <c r="I151" s="31">
        <v>7</v>
      </c>
      <c r="J151" s="33">
        <v>36</v>
      </c>
      <c r="K151" s="35">
        <v>37</v>
      </c>
      <c r="L151" s="37">
        <v>34</v>
      </c>
      <c r="M151" s="39">
        <v>39</v>
      </c>
      <c r="N151" s="41">
        <v>11</v>
      </c>
      <c r="O151" s="43">
        <v>15</v>
      </c>
      <c r="P151" s="45">
        <v>61</v>
      </c>
      <c r="Q151" s="47">
        <v>82</v>
      </c>
      <c r="R151" s="49">
        <v>30</v>
      </c>
      <c r="S151" s="51">
        <v>90</v>
      </c>
      <c r="T151" s="53">
        <v>152</v>
      </c>
      <c r="U151" s="82">
        <f t="shared" si="2"/>
        <v>594</v>
      </c>
    </row>
    <row r="152" spans="6:21">
      <c r="F152" s="57"/>
      <c r="G152" s="28">
        <v>2052150585</v>
      </c>
      <c r="H152" s="30" t="s">
        <v>52</v>
      </c>
      <c r="I152" s="31">
        <v>122</v>
      </c>
      <c r="J152" s="33">
        <v>216</v>
      </c>
      <c r="K152" s="35">
        <v>156</v>
      </c>
      <c r="L152" s="37">
        <v>165</v>
      </c>
      <c r="M152" s="39">
        <v>220</v>
      </c>
      <c r="N152" s="41">
        <v>282</v>
      </c>
      <c r="O152" s="43">
        <v>419</v>
      </c>
      <c r="P152" s="45">
        <v>403</v>
      </c>
      <c r="Q152" s="47">
        <v>438</v>
      </c>
      <c r="R152" s="49">
        <v>383</v>
      </c>
      <c r="S152" s="51">
        <v>193</v>
      </c>
      <c r="T152" s="53">
        <v>112</v>
      </c>
      <c r="U152" s="82">
        <f t="shared" si="2"/>
        <v>3109</v>
      </c>
    </row>
    <row r="153" spans="6:21">
      <c r="G153" s="28">
        <v>8635150066</v>
      </c>
      <c r="H153" s="30" t="s">
        <v>53</v>
      </c>
      <c r="I153" s="31">
        <v>3</v>
      </c>
      <c r="J153" s="33">
        <v>17</v>
      </c>
      <c r="K153" s="35">
        <v>7</v>
      </c>
      <c r="L153" s="37">
        <v>4</v>
      </c>
      <c r="M153" s="39">
        <v>4</v>
      </c>
      <c r="N153" s="41">
        <v>0</v>
      </c>
      <c r="O153" s="43">
        <v>2</v>
      </c>
      <c r="P153" s="45">
        <v>1</v>
      </c>
      <c r="Q153" s="47">
        <v>3</v>
      </c>
      <c r="R153" s="49">
        <v>7</v>
      </c>
      <c r="S153" s="51">
        <v>9</v>
      </c>
      <c r="T153" s="53">
        <v>7</v>
      </c>
      <c r="U153" s="82">
        <f t="shared" si="2"/>
        <v>64</v>
      </c>
    </row>
    <row r="154" spans="6:21">
      <c r="G154" s="29">
        <v>6663150208</v>
      </c>
      <c r="H154" s="30" t="s">
        <v>54</v>
      </c>
      <c r="I154" s="31">
        <v>4</v>
      </c>
      <c r="J154" s="33">
        <v>13</v>
      </c>
      <c r="K154" s="35">
        <v>15</v>
      </c>
      <c r="L154" s="37">
        <v>15</v>
      </c>
      <c r="M154" s="39">
        <v>21</v>
      </c>
      <c r="N154" s="41">
        <v>8</v>
      </c>
      <c r="O154" s="43">
        <v>6</v>
      </c>
      <c r="P154" s="45">
        <v>8</v>
      </c>
      <c r="Q154" s="47">
        <v>14</v>
      </c>
      <c r="R154" s="49">
        <v>27</v>
      </c>
      <c r="S154" s="51">
        <v>22</v>
      </c>
      <c r="T154" s="53">
        <v>18</v>
      </c>
      <c r="U154" s="82">
        <f t="shared" si="2"/>
        <v>171</v>
      </c>
    </row>
    <row r="155" spans="6:21">
      <c r="G155" s="28">
        <v>6068150813</v>
      </c>
      <c r="H155" s="30" t="s">
        <v>55</v>
      </c>
      <c r="I155" s="31">
        <v>32</v>
      </c>
      <c r="J155" s="33">
        <v>26</v>
      </c>
      <c r="K155" s="35">
        <v>19</v>
      </c>
      <c r="L155" s="37">
        <v>19</v>
      </c>
      <c r="M155" s="39">
        <v>55</v>
      </c>
      <c r="N155" s="41">
        <v>176</v>
      </c>
      <c r="O155" s="43">
        <v>269</v>
      </c>
      <c r="P155" s="45">
        <v>218</v>
      </c>
      <c r="Q155" s="47">
        <v>255</v>
      </c>
      <c r="R155" s="49">
        <v>173</v>
      </c>
      <c r="S155" s="51">
        <v>77</v>
      </c>
      <c r="T155" s="53">
        <v>15</v>
      </c>
      <c r="U155" s="82">
        <f t="shared" si="2"/>
        <v>1334</v>
      </c>
    </row>
    <row r="156" spans="6:21">
      <c r="G156" s="29">
        <v>5068150812</v>
      </c>
      <c r="H156" s="30" t="s">
        <v>56</v>
      </c>
      <c r="I156" s="31">
        <v>5</v>
      </c>
      <c r="J156" s="33">
        <v>12</v>
      </c>
      <c r="K156" s="35">
        <v>12</v>
      </c>
      <c r="L156" s="37">
        <v>12</v>
      </c>
      <c r="M156" s="39">
        <v>12</v>
      </c>
      <c r="N156" s="41">
        <v>6</v>
      </c>
      <c r="O156" s="43">
        <v>4</v>
      </c>
      <c r="P156" s="45">
        <v>6</v>
      </c>
      <c r="Q156" s="47">
        <v>7</v>
      </c>
      <c r="R156" s="49">
        <v>9</v>
      </c>
      <c r="S156" s="51">
        <v>21</v>
      </c>
      <c r="T156" s="53">
        <v>9</v>
      </c>
      <c r="U156" s="82">
        <f t="shared" si="2"/>
        <v>115</v>
      </c>
    </row>
    <row r="157" spans="6:21">
      <c r="G157" s="29">
        <v>2364150700</v>
      </c>
      <c r="H157" s="30" t="s">
        <v>57</v>
      </c>
      <c r="I157" s="31">
        <v>19</v>
      </c>
      <c r="J157" s="33">
        <v>40</v>
      </c>
      <c r="K157" s="35">
        <v>51</v>
      </c>
      <c r="L157" s="37">
        <v>29</v>
      </c>
      <c r="M157" s="39">
        <v>30</v>
      </c>
      <c r="N157" s="41">
        <v>37</v>
      </c>
      <c r="O157" s="43">
        <v>32</v>
      </c>
      <c r="P157" s="45">
        <v>36</v>
      </c>
      <c r="Q157" s="47">
        <v>56</v>
      </c>
      <c r="R157" s="49">
        <v>59</v>
      </c>
      <c r="S157" s="51">
        <v>51</v>
      </c>
      <c r="T157" s="53">
        <v>25</v>
      </c>
      <c r="U157" s="82">
        <f t="shared" si="2"/>
        <v>465</v>
      </c>
    </row>
    <row r="158" spans="6:21">
      <c r="G158" s="29">
        <v>1364150699</v>
      </c>
      <c r="H158" s="30" t="s">
        <v>58</v>
      </c>
      <c r="I158" s="31">
        <v>9</v>
      </c>
      <c r="J158" s="33">
        <v>79</v>
      </c>
      <c r="K158" s="35">
        <v>74</v>
      </c>
      <c r="L158" s="37">
        <v>93</v>
      </c>
      <c r="M158" s="39">
        <v>83</v>
      </c>
      <c r="N158" s="41">
        <v>11</v>
      </c>
      <c r="O158" s="43">
        <v>12</v>
      </c>
      <c r="P158" s="45">
        <v>95</v>
      </c>
      <c r="Q158" s="47">
        <v>129</v>
      </c>
      <c r="R158" s="49">
        <v>126</v>
      </c>
      <c r="S158" s="51">
        <v>76</v>
      </c>
      <c r="T158" s="53">
        <v>51</v>
      </c>
      <c r="U158" s="82">
        <f t="shared" si="2"/>
        <v>838</v>
      </c>
    </row>
    <row r="159" spans="6:21">
      <c r="G159" s="28">
        <v>2068150809</v>
      </c>
      <c r="H159" s="30" t="s">
        <v>59</v>
      </c>
      <c r="I159" s="31">
        <v>0</v>
      </c>
      <c r="J159" s="33">
        <v>2</v>
      </c>
      <c r="K159" s="35">
        <v>2</v>
      </c>
      <c r="L159" s="37">
        <v>1</v>
      </c>
      <c r="M159" s="39">
        <v>2</v>
      </c>
      <c r="N159" s="41">
        <v>1</v>
      </c>
      <c r="O159" s="43">
        <v>1</v>
      </c>
      <c r="P159" s="45">
        <v>1</v>
      </c>
      <c r="Q159" s="47">
        <v>1</v>
      </c>
      <c r="R159" s="49">
        <v>2</v>
      </c>
      <c r="S159" s="51">
        <v>1</v>
      </c>
      <c r="T159" s="53">
        <v>1</v>
      </c>
      <c r="U159" s="82">
        <f t="shared" si="2"/>
        <v>15</v>
      </c>
    </row>
    <row r="160" spans="6:21">
      <c r="G160" s="28">
        <v>5756250297</v>
      </c>
      <c r="H160" s="30" t="s">
        <v>60</v>
      </c>
      <c r="I160" s="31">
        <v>1</v>
      </c>
      <c r="J160" s="33">
        <v>3</v>
      </c>
      <c r="K160" s="35">
        <v>3</v>
      </c>
      <c r="L160" s="37">
        <v>3</v>
      </c>
      <c r="M160" s="39">
        <v>8</v>
      </c>
      <c r="N160" s="41">
        <v>2</v>
      </c>
      <c r="O160" s="43">
        <v>5</v>
      </c>
      <c r="P160" s="45">
        <v>3</v>
      </c>
      <c r="Q160" s="47">
        <v>3</v>
      </c>
      <c r="R160" s="49">
        <v>3</v>
      </c>
      <c r="S160" s="51">
        <v>3</v>
      </c>
      <c r="T160" s="53">
        <v>3</v>
      </c>
      <c r="U160" s="82">
        <f t="shared" si="2"/>
        <v>40</v>
      </c>
    </row>
    <row r="161" spans="6:22">
      <c r="G161" s="29">
        <v>1665911804</v>
      </c>
      <c r="H161" s="30" t="s">
        <v>61</v>
      </c>
      <c r="I161" s="31">
        <v>94</v>
      </c>
      <c r="J161" s="33">
        <v>274</v>
      </c>
      <c r="K161" s="35">
        <v>301</v>
      </c>
      <c r="L161" s="37">
        <v>315</v>
      </c>
      <c r="M161" s="39">
        <v>345</v>
      </c>
      <c r="N161" s="41">
        <v>377</v>
      </c>
      <c r="O161" s="43">
        <v>475</v>
      </c>
      <c r="P161" s="45">
        <v>595</v>
      </c>
      <c r="Q161" s="47">
        <v>701</v>
      </c>
      <c r="R161" s="49">
        <v>650</v>
      </c>
      <c r="S161" s="51">
        <v>457</v>
      </c>
      <c r="T161" s="53">
        <v>366</v>
      </c>
      <c r="U161" s="82">
        <f t="shared" si="2"/>
        <v>4950</v>
      </c>
    </row>
    <row r="162" spans="6:22">
      <c r="G162" s="29">
        <v>3054467971</v>
      </c>
      <c r="H162" s="30" t="s">
        <v>62</v>
      </c>
      <c r="I162" s="31">
        <v>14</v>
      </c>
      <c r="J162" s="33">
        <v>29</v>
      </c>
      <c r="K162" s="35">
        <v>29</v>
      </c>
      <c r="L162" s="37">
        <v>29</v>
      </c>
      <c r="M162" s="39">
        <v>38</v>
      </c>
      <c r="N162" s="41">
        <v>37</v>
      </c>
      <c r="O162" s="43">
        <v>19</v>
      </c>
      <c r="P162" s="45">
        <v>21</v>
      </c>
      <c r="Q162" s="47">
        <v>28</v>
      </c>
      <c r="R162" s="49">
        <v>30</v>
      </c>
      <c r="S162" s="51">
        <v>29</v>
      </c>
      <c r="T162" s="53">
        <v>23</v>
      </c>
      <c r="U162" s="82">
        <f t="shared" si="2"/>
        <v>326</v>
      </c>
    </row>
    <row r="163" spans="6:22">
      <c r="G163" s="29">
        <v>3380811569</v>
      </c>
      <c r="H163" s="30" t="s">
        <v>63</v>
      </c>
      <c r="I163" s="31">
        <v>0</v>
      </c>
      <c r="J163" s="33">
        <v>1</v>
      </c>
      <c r="K163" s="35">
        <v>1</v>
      </c>
      <c r="L163" s="37">
        <v>0</v>
      </c>
      <c r="M163" s="39">
        <v>1</v>
      </c>
      <c r="N163" s="41">
        <v>1</v>
      </c>
      <c r="O163" s="43">
        <v>1</v>
      </c>
      <c r="P163" s="45">
        <v>1</v>
      </c>
      <c r="Q163" s="47">
        <v>0</v>
      </c>
      <c r="R163" s="49">
        <v>2</v>
      </c>
      <c r="S163" s="51">
        <v>1</v>
      </c>
      <c r="T163" s="53">
        <v>1</v>
      </c>
      <c r="U163" s="82">
        <f t="shared" si="2"/>
        <v>10</v>
      </c>
    </row>
    <row r="164" spans="6:22">
      <c r="I164" s="32">
        <v>384</v>
      </c>
      <c r="J164" s="34">
        <v>1114</v>
      </c>
      <c r="K164" s="36">
        <v>1076</v>
      </c>
      <c r="L164" s="38">
        <v>1181</v>
      </c>
      <c r="M164" s="40">
        <v>1266</v>
      </c>
      <c r="N164" s="42">
        <v>1209</v>
      </c>
      <c r="O164" s="44">
        <v>1405</v>
      </c>
      <c r="P164" s="46">
        <v>1544</v>
      </c>
      <c r="Q164" s="48">
        <v>2020</v>
      </c>
      <c r="R164" s="50">
        <v>1874</v>
      </c>
      <c r="S164" s="52">
        <v>1514</v>
      </c>
      <c r="T164" s="54">
        <v>1195</v>
      </c>
      <c r="U164" s="82">
        <f t="shared" si="2"/>
        <v>15782</v>
      </c>
    </row>
    <row r="165" spans="6:22">
      <c r="U165" s="80"/>
    </row>
    <row r="166" spans="6:22">
      <c r="H166" s="55" t="s">
        <v>64</v>
      </c>
      <c r="I166" s="56">
        <f>I164*1000</f>
        <v>384000</v>
      </c>
      <c r="J166" s="56">
        <f t="shared" ref="J166:T166" si="3">J164*1000</f>
        <v>1114000</v>
      </c>
      <c r="K166" s="56">
        <f t="shared" si="3"/>
        <v>1076000</v>
      </c>
      <c r="L166" s="56">
        <f t="shared" si="3"/>
        <v>1181000</v>
      </c>
      <c r="M166" s="56">
        <f t="shared" si="3"/>
        <v>1266000</v>
      </c>
      <c r="N166" s="56">
        <f t="shared" si="3"/>
        <v>1209000</v>
      </c>
      <c r="O166" s="56">
        <f t="shared" si="3"/>
        <v>1405000</v>
      </c>
      <c r="P166" s="56">
        <f t="shared" si="3"/>
        <v>1544000</v>
      </c>
      <c r="Q166" s="56">
        <f t="shared" si="3"/>
        <v>2020000</v>
      </c>
      <c r="R166" s="56">
        <f t="shared" si="3"/>
        <v>1874000</v>
      </c>
      <c r="S166" s="56">
        <f t="shared" si="3"/>
        <v>1514000</v>
      </c>
      <c r="T166" s="56">
        <f t="shared" si="3"/>
        <v>1195000</v>
      </c>
      <c r="U166" s="56">
        <f>U164*1000</f>
        <v>15782000</v>
      </c>
    </row>
    <row r="169" spans="6:22">
      <c r="F169" s="58" t="s">
        <v>73</v>
      </c>
      <c r="G169" s="57"/>
    </row>
    <row r="170" spans="6:22" ht="15.75" thickBot="1">
      <c r="F170" s="59" t="s">
        <v>30</v>
      </c>
      <c r="G170" s="22" t="s">
        <v>31</v>
      </c>
      <c r="H170" s="23" t="s">
        <v>32</v>
      </c>
      <c r="I170" s="24" t="s">
        <v>33</v>
      </c>
      <c r="J170" s="25" t="s">
        <v>34</v>
      </c>
      <c r="K170" s="26" t="s">
        <v>35</v>
      </c>
      <c r="L170" s="26" t="s">
        <v>36</v>
      </c>
      <c r="M170" s="26" t="s">
        <v>37</v>
      </c>
      <c r="N170" s="26" t="s">
        <v>38</v>
      </c>
      <c r="O170" s="26" t="s">
        <v>39</v>
      </c>
      <c r="P170" s="26" t="s">
        <v>40</v>
      </c>
      <c r="Q170" s="26" t="s">
        <v>41</v>
      </c>
      <c r="R170" s="26" t="s">
        <v>42</v>
      </c>
      <c r="S170" s="26" t="s">
        <v>43</v>
      </c>
      <c r="T170" s="26" t="s">
        <v>44</v>
      </c>
      <c r="V170"/>
    </row>
    <row r="171" spans="6:22">
      <c r="F171" s="57"/>
      <c r="G171" s="27">
        <v>7534810685</v>
      </c>
      <c r="H171" s="30" t="s">
        <v>45</v>
      </c>
      <c r="I171" s="31">
        <f>(I145*1000)/31</f>
        <v>354.83870967741933</v>
      </c>
      <c r="J171" s="31">
        <f>(J145*1000)/28</f>
        <v>642.85714285714289</v>
      </c>
      <c r="K171" s="31">
        <f>(K145*1000)/31</f>
        <v>645.16129032258061</v>
      </c>
      <c r="L171" s="31">
        <f>(L145*1000)/30</f>
        <v>633.33333333333337</v>
      </c>
      <c r="M171" s="31">
        <f>(M145*1000)/31</f>
        <v>451.61290322580646</v>
      </c>
      <c r="N171" s="31">
        <f t="shared" ref="N171:N189" si="4">(N145*1000)/30</f>
        <v>500</v>
      </c>
      <c r="O171" s="31">
        <f>(O145*1000)/31</f>
        <v>354.83870967741933</v>
      </c>
      <c r="P171" s="31">
        <f>(P145*1000)/31</f>
        <v>354.83870967741933</v>
      </c>
      <c r="Q171" s="31">
        <f t="shared" ref="Q171:Q189" si="5">(Q145*1000)/30</f>
        <v>533.33333333333337</v>
      </c>
      <c r="R171" s="31">
        <f>(R145*1000)/31</f>
        <v>322.58064516129031</v>
      </c>
      <c r="S171" s="31">
        <f t="shared" ref="S171:S189" si="6">(S145*1000)/30</f>
        <v>300</v>
      </c>
      <c r="T171" s="31">
        <f>(T145*1000)/31</f>
        <v>258.06451612903226</v>
      </c>
      <c r="V171"/>
    </row>
    <row r="172" spans="6:22">
      <c r="F172" s="57"/>
      <c r="G172" s="27">
        <v>4366050935</v>
      </c>
      <c r="H172" s="30" t="s">
        <v>46</v>
      </c>
      <c r="I172" s="31">
        <f t="shared" ref="I172:K189" si="7">(I146*1000)/31</f>
        <v>96.774193548387103</v>
      </c>
      <c r="J172" s="31">
        <f t="shared" ref="J172:J189" si="8">(J146*1000)/28</f>
        <v>821.42857142857144</v>
      </c>
      <c r="K172" s="31">
        <f t="shared" si="7"/>
        <v>774.19354838709683</v>
      </c>
      <c r="L172" s="31">
        <f t="shared" ref="L172:L189" si="9">(L146*1000)/30</f>
        <v>766.66666666666663</v>
      </c>
      <c r="M172" s="31">
        <f t="shared" ref="M172" si="10">(M146*1000)/31</f>
        <v>774.19354838709683</v>
      </c>
      <c r="N172" s="31">
        <f t="shared" si="4"/>
        <v>566.66666666666663</v>
      </c>
      <c r="O172" s="31">
        <f t="shared" ref="O172:P172" si="11">(O146*1000)/31</f>
        <v>1161.2903225806451</v>
      </c>
      <c r="P172" s="31">
        <f t="shared" si="11"/>
        <v>483.87096774193549</v>
      </c>
      <c r="Q172" s="31">
        <f t="shared" si="5"/>
        <v>1566.6666666666667</v>
      </c>
      <c r="R172" s="31">
        <f t="shared" ref="R172" si="12">(R146*1000)/31</f>
        <v>1516.1290322580646</v>
      </c>
      <c r="S172" s="31">
        <f t="shared" si="6"/>
        <v>1600</v>
      </c>
      <c r="T172" s="31">
        <f t="shared" ref="T172" si="13">(T146*1000)/31</f>
        <v>3483.8709677419356</v>
      </c>
      <c r="V172"/>
    </row>
    <row r="173" spans="6:22">
      <c r="F173" s="57"/>
      <c r="G173" s="27">
        <v>6366050937</v>
      </c>
      <c r="H173" s="30" t="s">
        <v>47</v>
      </c>
      <c r="I173" s="31">
        <f t="shared" si="7"/>
        <v>0</v>
      </c>
      <c r="J173" s="31">
        <f t="shared" si="8"/>
        <v>428.57142857142856</v>
      </c>
      <c r="K173" s="31">
        <f t="shared" si="7"/>
        <v>419.35483870967744</v>
      </c>
      <c r="L173" s="31">
        <f t="shared" si="9"/>
        <v>433.33333333333331</v>
      </c>
      <c r="M173" s="31">
        <f t="shared" ref="M173" si="14">(M147*1000)/31</f>
        <v>419.35483870967744</v>
      </c>
      <c r="N173" s="31">
        <f t="shared" si="4"/>
        <v>2133.3333333333335</v>
      </c>
      <c r="O173" s="31">
        <f t="shared" ref="O173:P173" si="15">(O147*1000)/31</f>
        <v>0</v>
      </c>
      <c r="P173" s="31">
        <f t="shared" si="15"/>
        <v>32.258064516129032</v>
      </c>
      <c r="Q173" s="31">
        <f t="shared" si="5"/>
        <v>500</v>
      </c>
      <c r="R173" s="31">
        <f t="shared" ref="R173" si="16">(R147*1000)/31</f>
        <v>1548.3870967741937</v>
      </c>
      <c r="S173" s="31">
        <f t="shared" si="6"/>
        <v>733.33333333333337</v>
      </c>
      <c r="T173" s="31">
        <f t="shared" ref="T173" si="17">(T147*1000)/31</f>
        <v>645.16129032258061</v>
      </c>
      <c r="V173"/>
    </row>
    <row r="174" spans="6:22">
      <c r="F174" s="57"/>
      <c r="G174" s="27">
        <v>7366050938</v>
      </c>
      <c r="H174" s="30" t="s">
        <v>48</v>
      </c>
      <c r="I174" s="31">
        <f t="shared" si="7"/>
        <v>516.12903225806451</v>
      </c>
      <c r="J174" s="31">
        <f t="shared" si="8"/>
        <v>1035.7142857142858</v>
      </c>
      <c r="K174" s="31">
        <f t="shared" si="7"/>
        <v>838.70967741935488</v>
      </c>
      <c r="L174" s="31">
        <f t="shared" si="9"/>
        <v>1400</v>
      </c>
      <c r="M174" s="31">
        <f t="shared" ref="M174" si="18">(M148*1000)/31</f>
        <v>1806.4516129032259</v>
      </c>
      <c r="N174" s="31">
        <f t="shared" si="4"/>
        <v>433.33333333333331</v>
      </c>
      <c r="O174" s="31">
        <f t="shared" ref="O174:P174" si="19">(O148*1000)/31</f>
        <v>612.90322580645159</v>
      </c>
      <c r="P174" s="31">
        <f t="shared" si="19"/>
        <v>1290.3225806451612</v>
      </c>
      <c r="Q174" s="31">
        <f t="shared" si="5"/>
        <v>1333.3333333333333</v>
      </c>
      <c r="R174" s="31">
        <f t="shared" ref="R174" si="20">(R148*1000)/31</f>
        <v>806.45161290322585</v>
      </c>
      <c r="S174" s="31">
        <f t="shared" si="6"/>
        <v>1200</v>
      </c>
      <c r="T174" s="31">
        <f t="shared" ref="T174" si="21">(T148*1000)/31</f>
        <v>1322.5806451612902</v>
      </c>
      <c r="V174"/>
    </row>
    <row r="175" spans="6:22">
      <c r="F175" s="57"/>
      <c r="G175" s="27">
        <v>3366050934</v>
      </c>
      <c r="H175" s="30" t="s">
        <v>49</v>
      </c>
      <c r="I175" s="31">
        <f t="shared" si="7"/>
        <v>1193.5483870967741</v>
      </c>
      <c r="J175" s="31">
        <f t="shared" si="8"/>
        <v>3500</v>
      </c>
      <c r="K175" s="31">
        <f t="shared" si="7"/>
        <v>2580.6451612903224</v>
      </c>
      <c r="L175" s="31">
        <f t="shared" si="9"/>
        <v>2900</v>
      </c>
      <c r="M175" s="31">
        <f t="shared" ref="M175" si="22">(M149*1000)/31</f>
        <v>2516.1290322580644</v>
      </c>
      <c r="N175" s="31">
        <f t="shared" si="4"/>
        <v>766.66666666666663</v>
      </c>
      <c r="O175" s="31">
        <f t="shared" ref="O175:P175" si="23">(O149*1000)/31</f>
        <v>483.87096774193549</v>
      </c>
      <c r="P175" s="31">
        <f t="shared" si="23"/>
        <v>580.64516129032256</v>
      </c>
      <c r="Q175" s="31">
        <f t="shared" si="5"/>
        <v>2100</v>
      </c>
      <c r="R175" s="31">
        <f t="shared" ref="R175" si="24">(R149*1000)/31</f>
        <v>3193.5483870967741</v>
      </c>
      <c r="S175" s="31">
        <f t="shared" si="6"/>
        <v>7200</v>
      </c>
      <c r="T175" s="31">
        <f t="shared" ref="T175" si="25">(T149*1000)/31</f>
        <v>3096.7741935483873</v>
      </c>
      <c r="V175"/>
    </row>
    <row r="176" spans="6:22">
      <c r="F176" s="57"/>
      <c r="G176" s="28">
        <v>5581150299</v>
      </c>
      <c r="H176" s="30" t="s">
        <v>50</v>
      </c>
      <c r="I176" s="31">
        <f t="shared" si="7"/>
        <v>225.80645161290323</v>
      </c>
      <c r="J176" s="31">
        <f t="shared" si="8"/>
        <v>6642.8571428571431</v>
      </c>
      <c r="K176" s="31">
        <f t="shared" si="7"/>
        <v>6645.1612903225805</v>
      </c>
      <c r="L176" s="31">
        <f t="shared" si="9"/>
        <v>9266.6666666666661</v>
      </c>
      <c r="M176" s="31">
        <f t="shared" ref="M176" si="26">(M150*1000)/31</f>
        <v>7193.5483870967746</v>
      </c>
      <c r="N176" s="31">
        <f t="shared" si="4"/>
        <v>4266.666666666667</v>
      </c>
      <c r="O176" s="31">
        <f t="shared" ref="O176:P176" si="27">(O150*1000)/31</f>
        <v>2064.516129032258</v>
      </c>
      <c r="P176" s="31">
        <f t="shared" si="27"/>
        <v>322.58064516129031</v>
      </c>
      <c r="Q176" s="31">
        <f t="shared" si="5"/>
        <v>4066.6666666666665</v>
      </c>
      <c r="R176" s="31">
        <f t="shared" ref="R176" si="28">(R150*1000)/31</f>
        <v>4645.1612903225805</v>
      </c>
      <c r="S176" s="31">
        <f t="shared" si="6"/>
        <v>5100</v>
      </c>
      <c r="T176" s="31">
        <f t="shared" ref="T176" si="29">(T150*1000)/31</f>
        <v>4483.8709677419356</v>
      </c>
      <c r="V176"/>
    </row>
    <row r="177" spans="6:22">
      <c r="F177" s="57"/>
      <c r="G177" s="28">
        <v>5366050936</v>
      </c>
      <c r="H177" s="30" t="s">
        <v>51</v>
      </c>
      <c r="I177" s="31">
        <f t="shared" si="7"/>
        <v>225.80645161290323</v>
      </c>
      <c r="J177" s="31">
        <f t="shared" si="8"/>
        <v>1285.7142857142858</v>
      </c>
      <c r="K177" s="31">
        <f t="shared" si="7"/>
        <v>1193.5483870967741</v>
      </c>
      <c r="L177" s="31">
        <f t="shared" si="9"/>
        <v>1133.3333333333333</v>
      </c>
      <c r="M177" s="31">
        <f t="shared" ref="M177" si="30">(M151*1000)/31</f>
        <v>1258.0645161290322</v>
      </c>
      <c r="N177" s="31">
        <f t="shared" si="4"/>
        <v>366.66666666666669</v>
      </c>
      <c r="O177" s="31">
        <f t="shared" ref="O177:P177" si="31">(O151*1000)/31</f>
        <v>483.87096774193549</v>
      </c>
      <c r="P177" s="31">
        <f t="shared" si="31"/>
        <v>1967.741935483871</v>
      </c>
      <c r="Q177" s="31">
        <f t="shared" si="5"/>
        <v>2733.3333333333335</v>
      </c>
      <c r="R177" s="31">
        <f t="shared" ref="R177" si="32">(R151*1000)/31</f>
        <v>967.74193548387098</v>
      </c>
      <c r="S177" s="31">
        <f t="shared" si="6"/>
        <v>3000</v>
      </c>
      <c r="T177" s="31">
        <f t="shared" ref="T177" si="33">(T151*1000)/31</f>
        <v>4903.2258064516127</v>
      </c>
      <c r="V177"/>
    </row>
    <row r="178" spans="6:22">
      <c r="F178" s="57"/>
      <c r="G178" s="28">
        <v>2052150585</v>
      </c>
      <c r="H178" s="30" t="s">
        <v>52</v>
      </c>
      <c r="I178" s="31">
        <f t="shared" si="7"/>
        <v>3935.483870967742</v>
      </c>
      <c r="J178" s="31">
        <f t="shared" si="8"/>
        <v>7714.2857142857147</v>
      </c>
      <c r="K178" s="31">
        <f t="shared" si="7"/>
        <v>5032.2580645161288</v>
      </c>
      <c r="L178" s="31">
        <f t="shared" si="9"/>
        <v>5500</v>
      </c>
      <c r="M178" s="31">
        <f t="shared" ref="M178" si="34">(M152*1000)/31</f>
        <v>7096.7741935483873</v>
      </c>
      <c r="N178" s="31">
        <f t="shared" si="4"/>
        <v>9400</v>
      </c>
      <c r="O178" s="31">
        <f t="shared" ref="O178:P178" si="35">(O152*1000)/31</f>
        <v>13516.129032258064</v>
      </c>
      <c r="P178" s="31">
        <f t="shared" si="35"/>
        <v>13000</v>
      </c>
      <c r="Q178" s="31">
        <f t="shared" si="5"/>
        <v>14600</v>
      </c>
      <c r="R178" s="31">
        <f t="shared" ref="R178" si="36">(R152*1000)/31</f>
        <v>12354.838709677419</v>
      </c>
      <c r="S178" s="31">
        <f t="shared" si="6"/>
        <v>6433.333333333333</v>
      </c>
      <c r="T178" s="31">
        <f t="shared" ref="T178" si="37">(T152*1000)/31</f>
        <v>3612.9032258064517</v>
      </c>
      <c r="V178"/>
    </row>
    <row r="179" spans="6:22">
      <c r="F179" s="57"/>
      <c r="G179" s="28">
        <v>8635150066</v>
      </c>
      <c r="H179" s="30" t="s">
        <v>53</v>
      </c>
      <c r="I179" s="31">
        <f t="shared" si="7"/>
        <v>96.774193548387103</v>
      </c>
      <c r="J179" s="31">
        <f t="shared" si="8"/>
        <v>607.14285714285711</v>
      </c>
      <c r="K179" s="31">
        <f t="shared" si="7"/>
        <v>225.80645161290323</v>
      </c>
      <c r="L179" s="31">
        <f t="shared" si="9"/>
        <v>133.33333333333334</v>
      </c>
      <c r="M179" s="31">
        <f t="shared" ref="M179" si="38">(M153*1000)/31</f>
        <v>129.03225806451613</v>
      </c>
      <c r="N179" s="31">
        <f t="shared" si="4"/>
        <v>0</v>
      </c>
      <c r="O179" s="31">
        <f t="shared" ref="O179:P179" si="39">(O153*1000)/31</f>
        <v>64.516129032258064</v>
      </c>
      <c r="P179" s="31">
        <f t="shared" si="39"/>
        <v>32.258064516129032</v>
      </c>
      <c r="Q179" s="31">
        <f t="shared" si="5"/>
        <v>100</v>
      </c>
      <c r="R179" s="31">
        <f t="shared" ref="R179" si="40">(R153*1000)/31</f>
        <v>225.80645161290323</v>
      </c>
      <c r="S179" s="31">
        <f t="shared" si="6"/>
        <v>300</v>
      </c>
      <c r="T179" s="31">
        <f t="shared" ref="T179" si="41">(T153*1000)/31</f>
        <v>225.80645161290323</v>
      </c>
      <c r="V179"/>
    </row>
    <row r="180" spans="6:22">
      <c r="F180" s="57"/>
      <c r="G180" s="29">
        <v>6663150208</v>
      </c>
      <c r="H180" s="30" t="s">
        <v>54</v>
      </c>
      <c r="I180" s="31">
        <f t="shared" si="7"/>
        <v>129.03225806451613</v>
      </c>
      <c r="J180" s="31">
        <f t="shared" si="8"/>
        <v>464.28571428571428</v>
      </c>
      <c r="K180" s="31">
        <f t="shared" si="7"/>
        <v>483.87096774193549</v>
      </c>
      <c r="L180" s="31">
        <f t="shared" si="9"/>
        <v>500</v>
      </c>
      <c r="M180" s="31">
        <f t="shared" ref="M180" si="42">(M154*1000)/31</f>
        <v>677.41935483870964</v>
      </c>
      <c r="N180" s="31">
        <f t="shared" si="4"/>
        <v>266.66666666666669</v>
      </c>
      <c r="O180" s="31">
        <f t="shared" ref="O180:P180" si="43">(O154*1000)/31</f>
        <v>193.54838709677421</v>
      </c>
      <c r="P180" s="31">
        <f t="shared" si="43"/>
        <v>258.06451612903226</v>
      </c>
      <c r="Q180" s="31">
        <f t="shared" si="5"/>
        <v>466.66666666666669</v>
      </c>
      <c r="R180" s="31">
        <f t="shared" ref="R180" si="44">(R154*1000)/31</f>
        <v>870.9677419354839</v>
      </c>
      <c r="S180" s="31">
        <f t="shared" si="6"/>
        <v>733.33333333333337</v>
      </c>
      <c r="T180" s="31">
        <f t="shared" ref="T180" si="45">(T154*1000)/31</f>
        <v>580.64516129032256</v>
      </c>
      <c r="V180"/>
    </row>
    <row r="181" spans="6:22">
      <c r="F181" s="57"/>
      <c r="G181" s="28">
        <v>6068150813</v>
      </c>
      <c r="H181" s="30" t="s">
        <v>55</v>
      </c>
      <c r="I181" s="31">
        <f t="shared" si="7"/>
        <v>1032.258064516129</v>
      </c>
      <c r="J181" s="31">
        <f t="shared" si="8"/>
        <v>928.57142857142856</v>
      </c>
      <c r="K181" s="31">
        <f t="shared" si="7"/>
        <v>612.90322580645159</v>
      </c>
      <c r="L181" s="31">
        <f t="shared" si="9"/>
        <v>633.33333333333337</v>
      </c>
      <c r="M181" s="31">
        <f t="shared" ref="M181" si="46">(M155*1000)/31</f>
        <v>1774.1935483870968</v>
      </c>
      <c r="N181" s="31">
        <f t="shared" si="4"/>
        <v>5866.666666666667</v>
      </c>
      <c r="O181" s="31">
        <f t="shared" ref="O181:P181" si="47">(O155*1000)/31</f>
        <v>8677.4193548387102</v>
      </c>
      <c r="P181" s="31">
        <f t="shared" si="47"/>
        <v>7032.2580645161288</v>
      </c>
      <c r="Q181" s="31">
        <f t="shared" si="5"/>
        <v>8500</v>
      </c>
      <c r="R181" s="31">
        <f t="shared" ref="R181" si="48">(R155*1000)/31</f>
        <v>5580.6451612903229</v>
      </c>
      <c r="S181" s="31">
        <f t="shared" si="6"/>
        <v>2566.6666666666665</v>
      </c>
      <c r="T181" s="31">
        <f t="shared" ref="T181" si="49">(T155*1000)/31</f>
        <v>483.87096774193549</v>
      </c>
      <c r="V181"/>
    </row>
    <row r="182" spans="6:22">
      <c r="F182" s="57"/>
      <c r="G182" s="29">
        <v>5068150812</v>
      </c>
      <c r="H182" s="30" t="s">
        <v>56</v>
      </c>
      <c r="I182" s="31">
        <f t="shared" si="7"/>
        <v>161.29032258064515</v>
      </c>
      <c r="J182" s="31">
        <f t="shared" si="8"/>
        <v>428.57142857142856</v>
      </c>
      <c r="K182" s="31">
        <f t="shared" si="7"/>
        <v>387.09677419354841</v>
      </c>
      <c r="L182" s="31">
        <f t="shared" si="9"/>
        <v>400</v>
      </c>
      <c r="M182" s="31">
        <f t="shared" ref="M182" si="50">(M156*1000)/31</f>
        <v>387.09677419354841</v>
      </c>
      <c r="N182" s="31">
        <f t="shared" si="4"/>
        <v>200</v>
      </c>
      <c r="O182" s="31">
        <f t="shared" ref="O182:P182" si="51">(O156*1000)/31</f>
        <v>129.03225806451613</v>
      </c>
      <c r="P182" s="31">
        <f t="shared" si="51"/>
        <v>193.54838709677421</v>
      </c>
      <c r="Q182" s="31">
        <f t="shared" si="5"/>
        <v>233.33333333333334</v>
      </c>
      <c r="R182" s="31">
        <f t="shared" ref="R182" si="52">(R156*1000)/31</f>
        <v>290.32258064516128</v>
      </c>
      <c r="S182" s="31">
        <f t="shared" si="6"/>
        <v>700</v>
      </c>
      <c r="T182" s="31">
        <f t="shared" ref="T182" si="53">(T156*1000)/31</f>
        <v>290.32258064516128</v>
      </c>
      <c r="V182"/>
    </row>
    <row r="183" spans="6:22">
      <c r="F183" s="57"/>
      <c r="G183" s="29">
        <v>2364150700</v>
      </c>
      <c r="H183" s="30" t="s">
        <v>57</v>
      </c>
      <c r="I183" s="31">
        <f t="shared" si="7"/>
        <v>612.90322580645159</v>
      </c>
      <c r="J183" s="31">
        <f t="shared" si="8"/>
        <v>1428.5714285714287</v>
      </c>
      <c r="K183" s="31">
        <f t="shared" si="7"/>
        <v>1645.1612903225807</v>
      </c>
      <c r="L183" s="31">
        <f t="shared" si="9"/>
        <v>966.66666666666663</v>
      </c>
      <c r="M183" s="31">
        <f t="shared" ref="M183" si="54">(M157*1000)/31</f>
        <v>967.74193548387098</v>
      </c>
      <c r="N183" s="31">
        <f t="shared" si="4"/>
        <v>1233.3333333333333</v>
      </c>
      <c r="O183" s="31">
        <f t="shared" ref="O183:P183" si="55">(O157*1000)/31</f>
        <v>1032.258064516129</v>
      </c>
      <c r="P183" s="31">
        <f t="shared" si="55"/>
        <v>1161.2903225806451</v>
      </c>
      <c r="Q183" s="31">
        <f t="shared" si="5"/>
        <v>1866.6666666666667</v>
      </c>
      <c r="R183" s="31">
        <f t="shared" ref="R183" si="56">(R157*1000)/31</f>
        <v>1903.2258064516129</v>
      </c>
      <c r="S183" s="31">
        <f t="shared" si="6"/>
        <v>1700</v>
      </c>
      <c r="T183" s="31">
        <f t="shared" ref="T183" si="57">(T157*1000)/31</f>
        <v>806.45161290322585</v>
      </c>
      <c r="V183"/>
    </row>
    <row r="184" spans="6:22">
      <c r="F184" s="57"/>
      <c r="G184" s="29">
        <v>1364150699</v>
      </c>
      <c r="H184" s="30" t="s">
        <v>58</v>
      </c>
      <c r="I184" s="31">
        <f t="shared" si="7"/>
        <v>290.32258064516128</v>
      </c>
      <c r="J184" s="31">
        <f t="shared" si="8"/>
        <v>2821.4285714285716</v>
      </c>
      <c r="K184" s="31">
        <f t="shared" si="7"/>
        <v>2387.0967741935483</v>
      </c>
      <c r="L184" s="31">
        <f t="shared" si="9"/>
        <v>3100</v>
      </c>
      <c r="M184" s="31">
        <f t="shared" ref="M184" si="58">(M158*1000)/31</f>
        <v>2677.4193548387098</v>
      </c>
      <c r="N184" s="31">
        <f t="shared" si="4"/>
        <v>366.66666666666669</v>
      </c>
      <c r="O184" s="31">
        <f t="shared" ref="O184:P184" si="59">(O158*1000)/31</f>
        <v>387.09677419354841</v>
      </c>
      <c r="P184" s="31">
        <f t="shared" si="59"/>
        <v>3064.516129032258</v>
      </c>
      <c r="Q184" s="31">
        <f t="shared" si="5"/>
        <v>4300</v>
      </c>
      <c r="R184" s="31">
        <f t="shared" ref="R184" si="60">(R158*1000)/31</f>
        <v>4064.516129032258</v>
      </c>
      <c r="S184" s="31">
        <f t="shared" si="6"/>
        <v>2533.3333333333335</v>
      </c>
      <c r="T184" s="31">
        <f t="shared" ref="T184" si="61">(T158*1000)/31</f>
        <v>1645.1612903225807</v>
      </c>
      <c r="V184"/>
    </row>
    <row r="185" spans="6:22">
      <c r="F185" s="57"/>
      <c r="G185" s="28">
        <v>2068150809</v>
      </c>
      <c r="H185" s="30" t="s">
        <v>59</v>
      </c>
      <c r="I185" s="31">
        <f t="shared" si="7"/>
        <v>0</v>
      </c>
      <c r="J185" s="31">
        <f t="shared" si="8"/>
        <v>71.428571428571431</v>
      </c>
      <c r="K185" s="31">
        <f t="shared" si="7"/>
        <v>64.516129032258064</v>
      </c>
      <c r="L185" s="31">
        <f t="shared" si="9"/>
        <v>33.333333333333336</v>
      </c>
      <c r="M185" s="31">
        <f t="shared" ref="M185" si="62">(M159*1000)/31</f>
        <v>64.516129032258064</v>
      </c>
      <c r="N185" s="31">
        <f t="shared" si="4"/>
        <v>33.333333333333336</v>
      </c>
      <c r="O185" s="31">
        <f t="shared" ref="O185:P185" si="63">(O159*1000)/31</f>
        <v>32.258064516129032</v>
      </c>
      <c r="P185" s="31">
        <f t="shared" si="63"/>
        <v>32.258064516129032</v>
      </c>
      <c r="Q185" s="31">
        <f t="shared" si="5"/>
        <v>33.333333333333336</v>
      </c>
      <c r="R185" s="31">
        <f t="shared" ref="R185" si="64">(R159*1000)/31</f>
        <v>64.516129032258064</v>
      </c>
      <c r="S185" s="31">
        <f t="shared" si="6"/>
        <v>33.333333333333336</v>
      </c>
      <c r="T185" s="31">
        <f t="shared" ref="T185" si="65">(T159*1000)/31</f>
        <v>32.258064516129032</v>
      </c>
      <c r="V185"/>
    </row>
    <row r="186" spans="6:22">
      <c r="F186" s="57"/>
      <c r="G186" s="28">
        <v>5756250297</v>
      </c>
      <c r="H186" s="30" t="s">
        <v>60</v>
      </c>
      <c r="I186" s="31">
        <f t="shared" si="7"/>
        <v>32.258064516129032</v>
      </c>
      <c r="J186" s="31">
        <f t="shared" si="8"/>
        <v>107.14285714285714</v>
      </c>
      <c r="K186" s="31">
        <f t="shared" si="7"/>
        <v>96.774193548387103</v>
      </c>
      <c r="L186" s="31">
        <f t="shared" si="9"/>
        <v>100</v>
      </c>
      <c r="M186" s="31">
        <f t="shared" ref="M186" si="66">(M160*1000)/31</f>
        <v>258.06451612903226</v>
      </c>
      <c r="N186" s="31">
        <f t="shared" si="4"/>
        <v>66.666666666666671</v>
      </c>
      <c r="O186" s="31">
        <f t="shared" ref="O186:P186" si="67">(O160*1000)/31</f>
        <v>161.29032258064515</v>
      </c>
      <c r="P186" s="31">
        <f t="shared" si="67"/>
        <v>96.774193548387103</v>
      </c>
      <c r="Q186" s="31">
        <f t="shared" si="5"/>
        <v>100</v>
      </c>
      <c r="R186" s="31">
        <f t="shared" ref="R186" si="68">(R160*1000)/31</f>
        <v>96.774193548387103</v>
      </c>
      <c r="S186" s="31">
        <f t="shared" si="6"/>
        <v>100</v>
      </c>
      <c r="T186" s="31">
        <f t="shared" ref="T186" si="69">(T160*1000)/31</f>
        <v>96.774193548387103</v>
      </c>
      <c r="V186"/>
    </row>
    <row r="187" spans="6:22">
      <c r="F187" s="57"/>
      <c r="G187" s="29">
        <v>1665911804</v>
      </c>
      <c r="H187" s="30" t="s">
        <v>61</v>
      </c>
      <c r="I187" s="31">
        <f t="shared" si="7"/>
        <v>3032.2580645161293</v>
      </c>
      <c r="J187" s="31">
        <f t="shared" si="8"/>
        <v>9785.7142857142862</v>
      </c>
      <c r="K187" s="31">
        <f t="shared" si="7"/>
        <v>9709.677419354839</v>
      </c>
      <c r="L187" s="31">
        <f t="shared" si="9"/>
        <v>10500</v>
      </c>
      <c r="M187" s="31">
        <f t="shared" ref="M187" si="70">(M161*1000)/31</f>
        <v>11129.032258064517</v>
      </c>
      <c r="N187" s="31">
        <f t="shared" si="4"/>
        <v>12566.666666666666</v>
      </c>
      <c r="O187" s="31">
        <f t="shared" ref="O187:P187" si="71">(O161*1000)/31</f>
        <v>15322.58064516129</v>
      </c>
      <c r="P187" s="31">
        <f t="shared" si="71"/>
        <v>19193.548387096773</v>
      </c>
      <c r="Q187" s="31">
        <f t="shared" si="5"/>
        <v>23366.666666666668</v>
      </c>
      <c r="R187" s="31">
        <f t="shared" ref="R187" si="72">(R161*1000)/31</f>
        <v>20967.741935483871</v>
      </c>
      <c r="S187" s="31">
        <f t="shared" si="6"/>
        <v>15233.333333333334</v>
      </c>
      <c r="T187" s="31">
        <f t="shared" ref="T187" si="73">(T161*1000)/31</f>
        <v>11806.451612903225</v>
      </c>
      <c r="V187"/>
    </row>
    <row r="188" spans="6:22">
      <c r="F188" s="57"/>
      <c r="G188" s="29">
        <v>3054467971</v>
      </c>
      <c r="H188" s="30" t="s">
        <v>62</v>
      </c>
      <c r="I188" s="31">
        <f t="shared" si="7"/>
        <v>451.61290322580646</v>
      </c>
      <c r="J188" s="31">
        <f t="shared" si="8"/>
        <v>1035.7142857142858</v>
      </c>
      <c r="K188" s="31">
        <f t="shared" si="7"/>
        <v>935.48387096774195</v>
      </c>
      <c r="L188" s="31">
        <f t="shared" si="9"/>
        <v>966.66666666666663</v>
      </c>
      <c r="M188" s="31">
        <f t="shared" ref="M188" si="74">(M162*1000)/31</f>
        <v>1225.8064516129032</v>
      </c>
      <c r="N188" s="31">
        <f t="shared" si="4"/>
        <v>1233.3333333333333</v>
      </c>
      <c r="O188" s="31">
        <f t="shared" ref="O188:P188" si="75">(O162*1000)/31</f>
        <v>612.90322580645159</v>
      </c>
      <c r="P188" s="31">
        <f t="shared" si="75"/>
        <v>677.41935483870964</v>
      </c>
      <c r="Q188" s="31">
        <f t="shared" si="5"/>
        <v>933.33333333333337</v>
      </c>
      <c r="R188" s="31">
        <f t="shared" ref="R188" si="76">(R162*1000)/31</f>
        <v>967.74193548387098</v>
      </c>
      <c r="S188" s="31">
        <f t="shared" si="6"/>
        <v>966.66666666666663</v>
      </c>
      <c r="T188" s="31">
        <f t="shared" ref="T188" si="77">(T162*1000)/31</f>
        <v>741.93548387096769</v>
      </c>
      <c r="V188"/>
    </row>
    <row r="189" spans="6:22">
      <c r="F189" s="57"/>
      <c r="G189" s="29">
        <v>3380811569</v>
      </c>
      <c r="H189" s="30" t="s">
        <v>63</v>
      </c>
      <c r="I189" s="31">
        <f t="shared" si="7"/>
        <v>0</v>
      </c>
      <c r="J189" s="31">
        <f t="shared" si="8"/>
        <v>35.714285714285715</v>
      </c>
      <c r="K189" s="31">
        <f t="shared" si="7"/>
        <v>32.258064516129032</v>
      </c>
      <c r="L189" s="31">
        <f t="shared" si="9"/>
        <v>0</v>
      </c>
      <c r="M189" s="31">
        <f t="shared" ref="M189" si="78">(M163*1000)/31</f>
        <v>32.258064516129032</v>
      </c>
      <c r="N189" s="31">
        <f t="shared" si="4"/>
        <v>33.333333333333336</v>
      </c>
      <c r="O189" s="31">
        <f t="shared" ref="O189:P189" si="79">(O163*1000)/31</f>
        <v>32.258064516129032</v>
      </c>
      <c r="P189" s="31">
        <f t="shared" si="79"/>
        <v>32.258064516129032</v>
      </c>
      <c r="Q189" s="31">
        <f t="shared" si="5"/>
        <v>0</v>
      </c>
      <c r="R189" s="31">
        <f t="shared" ref="R189" si="80">(R163*1000)/31</f>
        <v>64.516129032258064</v>
      </c>
      <c r="S189" s="31">
        <f t="shared" si="6"/>
        <v>33.333333333333336</v>
      </c>
      <c r="T189" s="31">
        <f t="shared" ref="T189" si="81">(T163*1000)/31</f>
        <v>32.258064516129032</v>
      </c>
      <c r="V189"/>
    </row>
    <row r="191" spans="6:22">
      <c r="I191" s="9">
        <f t="shared" ref="I191:T191" si="82">SUM(I171:I190)</f>
        <v>12387.096774193547</v>
      </c>
      <c r="J191" s="9">
        <f t="shared" si="82"/>
        <v>39785.714285714283</v>
      </c>
      <c r="K191" s="9">
        <f t="shared" si="82"/>
        <v>34709.677419354834</v>
      </c>
      <c r="L191" s="9">
        <f t="shared" si="82"/>
        <v>39366.666666666664</v>
      </c>
      <c r="M191" s="9">
        <f t="shared" si="82"/>
        <v>40838.709677419356</v>
      </c>
      <c r="N191" s="9">
        <f t="shared" si="82"/>
        <v>40300.000000000007</v>
      </c>
      <c r="O191" s="9">
        <f t="shared" si="82"/>
        <v>45322.580645161295</v>
      </c>
      <c r="P191" s="9">
        <f t="shared" si="82"/>
        <v>49806.45161290322</v>
      </c>
      <c r="Q191" s="9">
        <f t="shared" si="82"/>
        <v>67333.333333333328</v>
      </c>
      <c r="R191" s="9">
        <f t="shared" si="82"/>
        <v>60451.612903225803</v>
      </c>
      <c r="S191" s="9">
        <f t="shared" si="82"/>
        <v>50466.666666666672</v>
      </c>
      <c r="T191" s="9">
        <f t="shared" si="82"/>
        <v>38548.387096774197</v>
      </c>
    </row>
    <row r="194" spans="6:23" ht="15.75" thickBot="1">
      <c r="F194" s="58" t="s">
        <v>74</v>
      </c>
    </row>
    <row r="195" spans="6:23" ht="15.75" thickBot="1">
      <c r="F195" s="2" t="s">
        <v>76</v>
      </c>
      <c r="G195" s="16" t="s">
        <v>84</v>
      </c>
      <c r="H195" s="16" t="s">
        <v>85</v>
      </c>
      <c r="I195" s="16" t="s">
        <v>75</v>
      </c>
      <c r="J195" s="16" t="s">
        <v>93</v>
      </c>
      <c r="K195" s="16" t="s">
        <v>94</v>
      </c>
      <c r="L195" s="62"/>
      <c r="M195" s="66" t="s">
        <v>95</v>
      </c>
      <c r="N195" s="67" t="s">
        <v>96</v>
      </c>
      <c r="O195" s="67" t="s">
        <v>97</v>
      </c>
      <c r="P195" s="68" t="s">
        <v>98</v>
      </c>
      <c r="Q195" s="63"/>
      <c r="R195" s="16"/>
      <c r="S195" s="16"/>
      <c r="T195" s="16"/>
      <c r="W195" s="5"/>
    </row>
    <row r="196" spans="6:23">
      <c r="F196" s="61">
        <v>45377</v>
      </c>
      <c r="G196" s="16" t="s">
        <v>77</v>
      </c>
      <c r="H196" s="16" t="s">
        <v>86</v>
      </c>
      <c r="I196" s="16">
        <v>5</v>
      </c>
      <c r="J196" s="16" t="s">
        <v>7</v>
      </c>
      <c r="K196" s="9">
        <f>I191*5</f>
        <v>61935.483870967735</v>
      </c>
      <c r="L196" s="62"/>
      <c r="M196" s="65">
        <f>K196*0.000001</f>
        <v>6.1935483870967735E-2</v>
      </c>
      <c r="N196" s="70"/>
      <c r="O196" s="70"/>
      <c r="P196" s="71"/>
      <c r="Q196" s="63"/>
      <c r="R196" s="16"/>
      <c r="S196" s="16"/>
      <c r="T196" s="16"/>
      <c r="W196" s="5"/>
    </row>
    <row r="197" spans="6:23">
      <c r="F197" s="61">
        <v>45426</v>
      </c>
      <c r="G197" s="16" t="s">
        <v>78</v>
      </c>
      <c r="H197" s="16" t="s">
        <v>87</v>
      </c>
      <c r="I197" s="21">
        <v>65</v>
      </c>
      <c r="J197" s="9">
        <f>J191*7</f>
        <v>278500</v>
      </c>
      <c r="K197" s="9">
        <f>(I191*26)+(J191*28)+(K191*11)</f>
        <v>1817870.9677419355</v>
      </c>
      <c r="L197" s="62"/>
      <c r="M197" s="64">
        <f t="shared" ref="M197:M202" si="83">K197*0.000001</f>
        <v>1.8178709677419354</v>
      </c>
      <c r="N197" s="72"/>
      <c r="O197" s="72"/>
      <c r="P197" s="73"/>
      <c r="Q197" s="63"/>
      <c r="R197" s="16"/>
      <c r="S197" s="16"/>
      <c r="T197" s="16"/>
      <c r="W197" s="5"/>
    </row>
    <row r="198" spans="6:23">
      <c r="F198" s="61">
        <v>45496</v>
      </c>
      <c r="G198" s="16" t="s">
        <v>79</v>
      </c>
      <c r="H198" s="16" t="s">
        <v>88</v>
      </c>
      <c r="I198" s="16">
        <v>63</v>
      </c>
      <c r="J198" s="9">
        <f>L191*7</f>
        <v>275566.66666666663</v>
      </c>
      <c r="K198" s="9">
        <f>(K191*20)+(L191*30)+(M191*13)</f>
        <v>2406096.7741935486</v>
      </c>
      <c r="L198" s="62"/>
      <c r="M198" s="64">
        <f t="shared" si="83"/>
        <v>2.4060967741935486</v>
      </c>
      <c r="N198" s="72"/>
      <c r="O198" s="72"/>
      <c r="P198" s="73"/>
      <c r="Q198" s="63"/>
      <c r="R198" s="16"/>
      <c r="S198" s="16"/>
      <c r="T198" s="16"/>
      <c r="W198" s="5"/>
    </row>
    <row r="199" spans="6:23">
      <c r="F199" s="61">
        <v>45568</v>
      </c>
      <c r="G199" s="16" t="s">
        <v>80</v>
      </c>
      <c r="H199" s="16" t="s">
        <v>89</v>
      </c>
      <c r="I199" s="16">
        <v>63</v>
      </c>
      <c r="J199" s="9">
        <f>N191*7</f>
        <v>282100.00000000006</v>
      </c>
      <c r="K199" s="9">
        <f>(M191*18)+(N191*30)+(O191*15)</f>
        <v>2623935.4838709682</v>
      </c>
      <c r="L199" s="62"/>
      <c r="M199" s="64">
        <f t="shared" si="83"/>
        <v>2.6239354838709681</v>
      </c>
      <c r="N199" s="72"/>
      <c r="O199" s="72"/>
      <c r="P199" s="73"/>
      <c r="Q199" s="63"/>
      <c r="R199" s="16"/>
      <c r="S199" s="16"/>
      <c r="T199" s="16"/>
      <c r="W199" s="5"/>
    </row>
    <row r="200" spans="6:23">
      <c r="F200" s="61">
        <v>45645</v>
      </c>
      <c r="G200" s="16" t="s">
        <v>81</v>
      </c>
      <c r="H200" s="16" t="s">
        <v>90</v>
      </c>
      <c r="I200" s="21">
        <v>62</v>
      </c>
      <c r="J200" s="9">
        <f>P191*7</f>
        <v>348645.16129032255</v>
      </c>
      <c r="K200" s="9">
        <f>(O191*16)+(P191*31)+(Q191*16)</f>
        <v>3346494.6236559134</v>
      </c>
      <c r="L200" s="62"/>
      <c r="M200" s="64">
        <f t="shared" si="83"/>
        <v>3.3464946236559134</v>
      </c>
      <c r="N200" s="72"/>
      <c r="O200" s="72"/>
      <c r="P200" s="73"/>
      <c r="Q200" s="63"/>
      <c r="R200" s="16"/>
      <c r="S200" s="16"/>
      <c r="T200" s="16"/>
      <c r="W200" s="5"/>
    </row>
    <row r="201" spans="6:23">
      <c r="F201" s="61">
        <v>45708</v>
      </c>
      <c r="G201" s="16" t="s">
        <v>82</v>
      </c>
      <c r="H201" s="16" t="s">
        <v>91</v>
      </c>
      <c r="I201" s="16">
        <v>63</v>
      </c>
      <c r="J201" s="9">
        <f>R191*7</f>
        <v>423161.29032258061</v>
      </c>
      <c r="K201" s="9">
        <f>(Q191*13)+(R191*31)+(S191*18)</f>
        <v>3657733.333333333</v>
      </c>
      <c r="L201" s="62"/>
      <c r="M201" s="64">
        <f t="shared" si="83"/>
        <v>3.6577333333333328</v>
      </c>
      <c r="N201" s="72"/>
      <c r="O201" s="72"/>
      <c r="P201" s="73"/>
      <c r="Q201" s="63"/>
      <c r="R201" s="16"/>
      <c r="S201" s="16"/>
      <c r="T201" s="16"/>
      <c r="W201" s="5"/>
    </row>
    <row r="202" spans="6:23" ht="15.75" thickBot="1">
      <c r="F202" s="61">
        <v>45722</v>
      </c>
      <c r="G202" s="16" t="s">
        <v>83</v>
      </c>
      <c r="H202" s="16" t="s">
        <v>92</v>
      </c>
      <c r="I202" s="21">
        <v>43</v>
      </c>
      <c r="J202" s="9">
        <f>T191*7</f>
        <v>269838.70967741939</v>
      </c>
      <c r="K202" s="9">
        <f>(S191*11)+(T191*31)</f>
        <v>1750133.3333333335</v>
      </c>
      <c r="L202" s="62"/>
      <c r="M202" s="69">
        <f t="shared" si="83"/>
        <v>1.7501333333333333</v>
      </c>
      <c r="N202" s="74"/>
      <c r="O202" s="74"/>
      <c r="P202" s="75"/>
      <c r="Q202" s="63"/>
      <c r="R202" s="16"/>
      <c r="S202" s="16"/>
      <c r="T202" s="16"/>
      <c r="W202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19"/>
  <sheetViews>
    <sheetView workbookViewId="0">
      <selection activeCell="D48" sqref="D48"/>
    </sheetView>
  </sheetViews>
  <sheetFormatPr defaultRowHeight="15"/>
  <cols>
    <col min="1" max="1" width="19.140625" style="57" customWidth="1"/>
    <col min="2" max="2" width="18.140625" style="57" customWidth="1"/>
    <col min="3" max="3" width="14.140625" style="57" customWidth="1"/>
    <col min="4" max="4" width="12" style="57" customWidth="1"/>
    <col min="5" max="5" width="11.5703125" style="15" customWidth="1"/>
    <col min="6" max="6" width="13.85546875" style="15" customWidth="1"/>
    <col min="7" max="15" width="13.7109375" style="15" customWidth="1"/>
    <col min="16" max="16" width="15.28515625" style="57" customWidth="1"/>
  </cols>
  <sheetData>
    <row r="1" spans="1:16" s="303" customFormat="1">
      <c r="A1" s="303" t="s">
        <v>28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s="303" customFormat="1" ht="15.75" thickBot="1">
      <c r="A2" s="94" t="s">
        <v>30</v>
      </c>
      <c r="B2" s="95" t="s">
        <v>31</v>
      </c>
      <c r="C2" s="95" t="s">
        <v>32</v>
      </c>
      <c r="D2" s="95" t="s">
        <v>33</v>
      </c>
      <c r="E2" s="95" t="s">
        <v>34</v>
      </c>
      <c r="F2" s="95" t="s">
        <v>35</v>
      </c>
      <c r="G2" s="95" t="s">
        <v>36</v>
      </c>
      <c r="H2" s="95" t="s">
        <v>37</v>
      </c>
      <c r="I2" s="95" t="s">
        <v>38</v>
      </c>
      <c r="J2" s="95" t="s">
        <v>39</v>
      </c>
      <c r="K2" s="95" t="s">
        <v>40</v>
      </c>
      <c r="L2" s="95" t="s">
        <v>41</v>
      </c>
      <c r="M2" s="95" t="s">
        <v>42</v>
      </c>
      <c r="N2" s="95" t="s">
        <v>43</v>
      </c>
      <c r="O2" s="95" t="s">
        <v>44</v>
      </c>
      <c r="P2" s="305" t="s">
        <v>104</v>
      </c>
    </row>
    <row r="3" spans="1:16" s="303" customFormat="1">
      <c r="A3" s="92"/>
      <c r="B3" s="97">
        <v>7534810685</v>
      </c>
      <c r="C3" s="113" t="s">
        <v>45</v>
      </c>
      <c r="D3" s="100">
        <f>AVERAGE(D52,D100,D150,D200,D250,D300)</f>
        <v>413.97849462365593</v>
      </c>
      <c r="E3" s="100">
        <f t="shared" ref="E3:O3" si="0">AVERAGE(E52,E100,E150,E200,E250,E300)</f>
        <v>577.38095238095229</v>
      </c>
      <c r="F3" s="100">
        <f t="shared" si="0"/>
        <v>548.38709677419354</v>
      </c>
      <c r="G3" s="100">
        <f t="shared" si="0"/>
        <v>555.55555555555554</v>
      </c>
      <c r="H3" s="100">
        <f t="shared" si="0"/>
        <v>564.51612903225794</v>
      </c>
      <c r="I3" s="100">
        <f t="shared" si="0"/>
        <v>438.88888888888886</v>
      </c>
      <c r="J3" s="100">
        <f t="shared" si="0"/>
        <v>446.23655913978496</v>
      </c>
      <c r="K3" s="100">
        <f t="shared" si="0"/>
        <v>456.98924731182802</v>
      </c>
      <c r="L3" s="100">
        <f t="shared" si="0"/>
        <v>516.66666666666663</v>
      </c>
      <c r="M3" s="100">
        <f t="shared" si="0"/>
        <v>456.98924731182797</v>
      </c>
      <c r="N3" s="100">
        <f t="shared" si="0"/>
        <v>427.77777777777777</v>
      </c>
      <c r="O3" s="100">
        <f t="shared" si="0"/>
        <v>446.2365591397849</v>
      </c>
      <c r="P3" s="306">
        <f>AVERAGE(D3:O3)</f>
        <v>487.46693121693119</v>
      </c>
    </row>
    <row r="4" spans="1:16" s="303" customFormat="1">
      <c r="A4" s="92"/>
      <c r="B4" s="97">
        <v>4366050935</v>
      </c>
      <c r="C4" s="113" t="s">
        <v>46</v>
      </c>
      <c r="D4" s="100">
        <f>AVERAGE(D53,D101,D151,D201,D251,D301)</f>
        <v>188.17204301075273</v>
      </c>
      <c r="E4" s="100">
        <f t="shared" ref="E4:O4" si="1">AVERAGE(E53,E101,E151,E201,E251,E301)</f>
        <v>1166.6666666666667</v>
      </c>
      <c r="F4" s="100">
        <f t="shared" si="1"/>
        <v>1026.8817204301076</v>
      </c>
      <c r="G4" s="100">
        <f t="shared" si="1"/>
        <v>1077.7777777777778</v>
      </c>
      <c r="H4" s="100">
        <f t="shared" si="1"/>
        <v>612.90322580645159</v>
      </c>
      <c r="I4" s="100">
        <f t="shared" si="1"/>
        <v>138.88888888888889</v>
      </c>
      <c r="J4" s="100">
        <f t="shared" si="1"/>
        <v>247.31182795698922</v>
      </c>
      <c r="K4" s="100">
        <f t="shared" si="1"/>
        <v>263.44086021505376</v>
      </c>
      <c r="L4" s="100">
        <f t="shared" si="1"/>
        <v>1233.3333333333333</v>
      </c>
      <c r="M4" s="100">
        <f t="shared" si="1"/>
        <v>1139.7849462365591</v>
      </c>
      <c r="N4" s="100">
        <f t="shared" si="1"/>
        <v>1244.4444444444443</v>
      </c>
      <c r="O4" s="100">
        <f t="shared" si="1"/>
        <v>1408.6021505376345</v>
      </c>
      <c r="P4" s="306">
        <f t="shared" ref="P4:P21" si="2">AVERAGE(D4:O4)</f>
        <v>812.35065710872152</v>
      </c>
    </row>
    <row r="5" spans="1:16" s="303" customFormat="1">
      <c r="A5" s="92"/>
      <c r="B5" s="97">
        <v>6366050937</v>
      </c>
      <c r="C5" s="113" t="s">
        <v>47</v>
      </c>
      <c r="D5" s="100">
        <f>AVERAGE(D54,D102,D152,D202,D252,D302)</f>
        <v>139.78494623655914</v>
      </c>
      <c r="E5" s="100">
        <f t="shared" ref="E5:O5" si="3">AVERAGE(E54,E102,E152,E202,E252,E302)</f>
        <v>1071.4285714285716</v>
      </c>
      <c r="F5" s="100">
        <f t="shared" si="3"/>
        <v>822.58064516129025</v>
      </c>
      <c r="G5" s="100">
        <f t="shared" si="3"/>
        <v>944.44444444444434</v>
      </c>
      <c r="H5" s="100">
        <f t="shared" si="3"/>
        <v>951.61290322580646</v>
      </c>
      <c r="I5" s="100">
        <f t="shared" si="3"/>
        <v>1183.3333333333333</v>
      </c>
      <c r="J5" s="100">
        <f t="shared" si="3"/>
        <v>365.59139784946234</v>
      </c>
      <c r="K5" s="100">
        <f t="shared" si="3"/>
        <v>172.04301075268816</v>
      </c>
      <c r="L5" s="100">
        <f t="shared" si="3"/>
        <v>900</v>
      </c>
      <c r="M5" s="100">
        <f t="shared" si="3"/>
        <v>1150.5376344086023</v>
      </c>
      <c r="N5" s="100">
        <f t="shared" si="3"/>
        <v>1077.7777777777776</v>
      </c>
      <c r="O5" s="100">
        <f t="shared" si="3"/>
        <v>736.55913978494618</v>
      </c>
      <c r="P5" s="306">
        <f t="shared" si="2"/>
        <v>792.97448370029008</v>
      </c>
    </row>
    <row r="6" spans="1:16" s="303" customFormat="1">
      <c r="A6" s="92"/>
      <c r="B6" s="97">
        <v>7366050938</v>
      </c>
      <c r="C6" s="113" t="s">
        <v>48</v>
      </c>
      <c r="D6" s="100">
        <f t="shared" ref="D6:O6" si="4">AVERAGE(D55,D103,D153,D203,D253,D303)</f>
        <v>881.72043010752679</v>
      </c>
      <c r="E6" s="100">
        <f t="shared" si="4"/>
        <v>1333.3333333333333</v>
      </c>
      <c r="F6" s="100">
        <f t="shared" si="4"/>
        <v>1236.5591397849462</v>
      </c>
      <c r="G6" s="100">
        <f t="shared" si="4"/>
        <v>1116.6666666666667</v>
      </c>
      <c r="H6" s="100">
        <f t="shared" si="4"/>
        <v>1043.010752688172</v>
      </c>
      <c r="I6" s="100">
        <f t="shared" si="4"/>
        <v>894.44444444444434</v>
      </c>
      <c r="J6" s="100">
        <f t="shared" si="4"/>
        <v>1075.2688172043011</v>
      </c>
      <c r="K6" s="100">
        <f t="shared" si="4"/>
        <v>1413.9784946236559</v>
      </c>
      <c r="L6" s="100">
        <f t="shared" si="4"/>
        <v>1505.5555555555557</v>
      </c>
      <c r="M6" s="100">
        <f t="shared" si="4"/>
        <v>1424.7311827956989</v>
      </c>
      <c r="N6" s="100">
        <f t="shared" si="4"/>
        <v>1277.7777777777776</v>
      </c>
      <c r="O6" s="100">
        <f t="shared" si="4"/>
        <v>1096.7741935483871</v>
      </c>
      <c r="P6" s="306">
        <f t="shared" si="2"/>
        <v>1191.6517323775386</v>
      </c>
    </row>
    <row r="7" spans="1:16" s="303" customFormat="1">
      <c r="A7" s="92"/>
      <c r="B7" s="97">
        <v>3366050934</v>
      </c>
      <c r="C7" s="113" t="s">
        <v>49</v>
      </c>
      <c r="D7" s="100">
        <f t="shared" ref="D7:O7" si="5">AVERAGE(D56,D104,D154,D204,D254,D304)</f>
        <v>3032.2580645161288</v>
      </c>
      <c r="E7" s="100">
        <f t="shared" si="5"/>
        <v>6428.5714285714284</v>
      </c>
      <c r="F7" s="100">
        <f t="shared" si="5"/>
        <v>6198.9247311827967</v>
      </c>
      <c r="G7" s="100">
        <f t="shared" si="5"/>
        <v>6266.666666666667</v>
      </c>
      <c r="H7" s="100">
        <f t="shared" si="5"/>
        <v>5086.0215053763441</v>
      </c>
      <c r="I7" s="100">
        <f t="shared" si="5"/>
        <v>2527.7777777777778</v>
      </c>
      <c r="J7" s="100">
        <f t="shared" si="5"/>
        <v>1252.6881720430108</v>
      </c>
      <c r="K7" s="100">
        <f t="shared" si="5"/>
        <v>1381.7204301075269</v>
      </c>
      <c r="L7" s="100">
        <f t="shared" si="5"/>
        <v>4222.2222222222226</v>
      </c>
      <c r="M7" s="100">
        <f t="shared" si="5"/>
        <v>4849.4623655913974</v>
      </c>
      <c r="N7" s="100">
        <f t="shared" si="5"/>
        <v>5461.1111111111104</v>
      </c>
      <c r="O7" s="100">
        <f t="shared" si="5"/>
        <v>3989.2473118279572</v>
      </c>
      <c r="P7" s="306">
        <f t="shared" si="2"/>
        <v>4224.7226489161976</v>
      </c>
    </row>
    <row r="8" spans="1:16" s="303" customFormat="1">
      <c r="A8" s="92"/>
      <c r="B8" s="97">
        <v>5581150299</v>
      </c>
      <c r="C8" s="113" t="s">
        <v>50</v>
      </c>
      <c r="D8" s="100">
        <f t="shared" ref="D8:O8" si="6">AVERAGE(D57,D105,D155,D205,D255,D305)</f>
        <v>2155.9139784946237</v>
      </c>
      <c r="E8" s="100">
        <f t="shared" si="6"/>
        <v>5898.8095238095239</v>
      </c>
      <c r="F8" s="100">
        <f t="shared" si="6"/>
        <v>5290.322580645161</v>
      </c>
      <c r="G8" s="100">
        <f t="shared" si="6"/>
        <v>6061.1111111111122</v>
      </c>
      <c r="H8" s="100">
        <f t="shared" si="6"/>
        <v>4994.6236559139788</v>
      </c>
      <c r="I8" s="100">
        <f t="shared" si="6"/>
        <v>2444.4444444444448</v>
      </c>
      <c r="J8" s="100">
        <f t="shared" si="6"/>
        <v>2166.6666666666665</v>
      </c>
      <c r="K8" s="100">
        <f t="shared" si="6"/>
        <v>3220.4301075268818</v>
      </c>
      <c r="L8" s="100">
        <f t="shared" si="6"/>
        <v>6000</v>
      </c>
      <c r="M8" s="100">
        <f t="shared" si="6"/>
        <v>6220.4301075268822</v>
      </c>
      <c r="N8" s="100">
        <f t="shared" si="6"/>
        <v>5888.8888888888896</v>
      </c>
      <c r="O8" s="100">
        <f t="shared" si="6"/>
        <v>4774.1935483870975</v>
      </c>
      <c r="P8" s="306">
        <f t="shared" si="2"/>
        <v>4592.9862177846053</v>
      </c>
    </row>
    <row r="9" spans="1:16" s="303" customFormat="1">
      <c r="A9" s="92"/>
      <c r="B9" s="97">
        <v>5366050936</v>
      </c>
      <c r="C9" s="113" t="s">
        <v>51</v>
      </c>
      <c r="D9" s="100">
        <f t="shared" ref="D9:O9" si="7">AVERAGE(D58,D106,D156,D206,D256,D306)</f>
        <v>790.32258064516134</v>
      </c>
      <c r="E9" s="100">
        <f t="shared" si="7"/>
        <v>2154.761904761905</v>
      </c>
      <c r="F9" s="100">
        <f t="shared" si="7"/>
        <v>924.73118279569883</v>
      </c>
      <c r="G9" s="100">
        <f t="shared" si="7"/>
        <v>905.55555555555554</v>
      </c>
      <c r="H9" s="100">
        <f t="shared" si="7"/>
        <v>822.58064516129036</v>
      </c>
      <c r="I9" s="100">
        <f t="shared" si="7"/>
        <v>333.33333333333337</v>
      </c>
      <c r="J9" s="100">
        <f t="shared" si="7"/>
        <v>397.84946236559136</v>
      </c>
      <c r="K9" s="100">
        <f t="shared" si="7"/>
        <v>645.16129032258061</v>
      </c>
      <c r="L9" s="100">
        <f t="shared" si="7"/>
        <v>2033.3333333333337</v>
      </c>
      <c r="M9" s="100">
        <f t="shared" si="7"/>
        <v>1559.1397849462364</v>
      </c>
      <c r="N9" s="100">
        <f t="shared" si="7"/>
        <v>1488.8888888888887</v>
      </c>
      <c r="O9" s="100">
        <f t="shared" si="7"/>
        <v>2290.322580645161</v>
      </c>
      <c r="P9" s="306">
        <f t="shared" si="2"/>
        <v>1195.4983785628947</v>
      </c>
    </row>
    <row r="10" spans="1:16" s="303" customFormat="1">
      <c r="A10" s="92"/>
      <c r="B10" s="97">
        <v>2052150585</v>
      </c>
      <c r="C10" s="113" t="s">
        <v>52</v>
      </c>
      <c r="D10" s="100">
        <f t="shared" ref="D10:O10" si="8">AVERAGE(D59,D107,D157,D207,D257,D307)</f>
        <v>3666.6666666666665</v>
      </c>
      <c r="E10" s="100">
        <f t="shared" si="8"/>
        <v>8857.1428571428569</v>
      </c>
      <c r="F10" s="100">
        <f t="shared" si="8"/>
        <v>7451.6129032258068</v>
      </c>
      <c r="G10" s="100">
        <f t="shared" si="8"/>
        <v>8166.666666666667</v>
      </c>
      <c r="H10" s="100">
        <f t="shared" si="8"/>
        <v>9150.5376344086017</v>
      </c>
      <c r="I10" s="100">
        <f t="shared" si="8"/>
        <v>7305.5555555555547</v>
      </c>
      <c r="J10" s="100">
        <f t="shared" si="8"/>
        <v>10892.473118279571</v>
      </c>
      <c r="K10" s="100">
        <f t="shared" si="8"/>
        <v>11602.150537634408</v>
      </c>
      <c r="L10" s="100">
        <f t="shared" si="8"/>
        <v>16094.444444444445</v>
      </c>
      <c r="M10" s="100">
        <f t="shared" si="8"/>
        <v>13354.838709677419</v>
      </c>
      <c r="N10" s="100">
        <f t="shared" si="8"/>
        <v>8277.7777777777774</v>
      </c>
      <c r="O10" s="100">
        <f t="shared" si="8"/>
        <v>5548.3870967741932</v>
      </c>
      <c r="P10" s="306">
        <f t="shared" si="2"/>
        <v>9197.3544973544977</v>
      </c>
    </row>
    <row r="11" spans="1:16" s="303" customFormat="1">
      <c r="A11" s="92"/>
      <c r="B11" s="97">
        <v>8635150066</v>
      </c>
      <c r="C11" s="113" t="s">
        <v>53</v>
      </c>
      <c r="D11" s="100">
        <f t="shared" ref="D11:O11" si="9">AVERAGE(D60,D108,D158,D208,D258,D308)</f>
        <v>134.40860215053763</v>
      </c>
      <c r="E11" s="100">
        <f t="shared" si="9"/>
        <v>392.85714285714289</v>
      </c>
      <c r="F11" s="100">
        <f t="shared" si="9"/>
        <v>241.93548387096772</v>
      </c>
      <c r="G11" s="100">
        <f t="shared" si="9"/>
        <v>277.77777777777777</v>
      </c>
      <c r="H11" s="100">
        <f t="shared" si="9"/>
        <v>392.47311827956992</v>
      </c>
      <c r="I11" s="100">
        <f t="shared" si="9"/>
        <v>288.88888888888891</v>
      </c>
      <c r="J11" s="100">
        <f t="shared" si="9"/>
        <v>1123.6559139784947</v>
      </c>
      <c r="K11" s="100">
        <f t="shared" si="9"/>
        <v>112.9032258064516</v>
      </c>
      <c r="L11" s="100">
        <f t="shared" si="9"/>
        <v>694.44444444444434</v>
      </c>
      <c r="M11" s="100">
        <f t="shared" si="9"/>
        <v>354.83870967741933</v>
      </c>
      <c r="N11" s="100">
        <f t="shared" si="9"/>
        <v>350</v>
      </c>
      <c r="O11" s="100">
        <f t="shared" si="9"/>
        <v>252.68817204301072</v>
      </c>
      <c r="P11" s="306">
        <f t="shared" si="2"/>
        <v>384.73928998122551</v>
      </c>
    </row>
    <row r="12" spans="1:16" s="303" customFormat="1">
      <c r="A12" s="92"/>
      <c r="B12" s="98">
        <v>6663150208</v>
      </c>
      <c r="C12" s="113" t="s">
        <v>54</v>
      </c>
      <c r="D12" s="100">
        <f t="shared" ref="D12:O12" si="10">AVERAGE(D61,D109,D159,D209,D259,D309)</f>
        <v>564.51612903225805</v>
      </c>
      <c r="E12" s="100">
        <f t="shared" si="10"/>
        <v>892.857142857143</v>
      </c>
      <c r="F12" s="100">
        <f t="shared" si="10"/>
        <v>768.81720430107532</v>
      </c>
      <c r="G12" s="100">
        <f t="shared" si="10"/>
        <v>711.11111111111097</v>
      </c>
      <c r="H12" s="100">
        <f t="shared" si="10"/>
        <v>655.91397849462362</v>
      </c>
      <c r="I12" s="100">
        <f t="shared" si="10"/>
        <v>361.11111111111109</v>
      </c>
      <c r="J12" s="100">
        <f t="shared" si="10"/>
        <v>344.08602150537632</v>
      </c>
      <c r="K12" s="100">
        <f t="shared" si="10"/>
        <v>413.97849462365588</v>
      </c>
      <c r="L12" s="100">
        <f t="shared" si="10"/>
        <v>611.11111111111109</v>
      </c>
      <c r="M12" s="100">
        <f t="shared" si="10"/>
        <v>838.70967741935476</v>
      </c>
      <c r="N12" s="100">
        <f t="shared" si="10"/>
        <v>861.11111111111097</v>
      </c>
      <c r="O12" s="100">
        <f t="shared" si="10"/>
        <v>779.56989247311822</v>
      </c>
      <c r="P12" s="306">
        <f t="shared" si="2"/>
        <v>650.24108209592089</v>
      </c>
    </row>
    <row r="13" spans="1:16" s="303" customFormat="1">
      <c r="A13" s="92"/>
      <c r="B13" s="97">
        <v>6068150813</v>
      </c>
      <c r="C13" s="113" t="s">
        <v>55</v>
      </c>
      <c r="D13" s="100">
        <f t="shared" ref="D13:O13" si="11">AVERAGE(D62,D110,D160,D210,D260,D310)</f>
        <v>306.45161290322579</v>
      </c>
      <c r="E13" s="100">
        <f t="shared" si="11"/>
        <v>785.71428571428567</v>
      </c>
      <c r="F13" s="100">
        <f t="shared" si="11"/>
        <v>602.15053763440858</v>
      </c>
      <c r="G13" s="100">
        <f t="shared" si="11"/>
        <v>750</v>
      </c>
      <c r="H13" s="100">
        <f t="shared" si="11"/>
        <v>2526.8817204301076</v>
      </c>
      <c r="I13" s="100">
        <f t="shared" si="11"/>
        <v>2977.7777777777778</v>
      </c>
      <c r="J13" s="100">
        <f t="shared" si="11"/>
        <v>6908.6021505376348</v>
      </c>
      <c r="K13" s="100">
        <f t="shared" si="11"/>
        <v>6064.5161290322576</v>
      </c>
      <c r="L13" s="100">
        <f t="shared" si="11"/>
        <v>6477.7777777777783</v>
      </c>
      <c r="M13" s="100">
        <f t="shared" si="11"/>
        <v>4645.1612903225805</v>
      </c>
      <c r="N13" s="100">
        <f t="shared" si="11"/>
        <v>1811.1111111111111</v>
      </c>
      <c r="O13" s="100">
        <f t="shared" si="11"/>
        <v>548.38709677419354</v>
      </c>
      <c r="P13" s="306">
        <f t="shared" si="2"/>
        <v>2867.0442908346135</v>
      </c>
    </row>
    <row r="14" spans="1:16" s="303" customFormat="1">
      <c r="A14" s="92"/>
      <c r="B14" s="98">
        <v>5068150812</v>
      </c>
      <c r="C14" s="113" t="s">
        <v>56</v>
      </c>
      <c r="D14" s="100">
        <f t="shared" ref="D14:O14" si="12">AVERAGE(D63,D111,D161,D211,D261,D311)</f>
        <v>145.16129032258064</v>
      </c>
      <c r="E14" s="100">
        <f t="shared" si="12"/>
        <v>452.38095238095235</v>
      </c>
      <c r="F14" s="100">
        <f t="shared" si="12"/>
        <v>349.46236559139783</v>
      </c>
      <c r="G14" s="100">
        <f t="shared" si="12"/>
        <v>355.5555555555556</v>
      </c>
      <c r="H14" s="100">
        <f t="shared" si="12"/>
        <v>263.44086021505376</v>
      </c>
      <c r="I14" s="100">
        <f t="shared" si="12"/>
        <v>172.22222222222226</v>
      </c>
      <c r="J14" s="100">
        <f t="shared" si="12"/>
        <v>322.58064516129031</v>
      </c>
      <c r="K14" s="100">
        <f t="shared" si="12"/>
        <v>360.21505376344084</v>
      </c>
      <c r="L14" s="100">
        <f t="shared" si="12"/>
        <v>455.5555555555556</v>
      </c>
      <c r="M14" s="100">
        <f t="shared" si="12"/>
        <v>462.36559139784953</v>
      </c>
      <c r="N14" s="100">
        <f t="shared" si="12"/>
        <v>1105.5555555555554</v>
      </c>
      <c r="O14" s="100">
        <f t="shared" si="12"/>
        <v>279.56989247311827</v>
      </c>
      <c r="P14" s="306">
        <f t="shared" si="2"/>
        <v>393.67212834954779</v>
      </c>
    </row>
    <row r="15" spans="1:16" s="303" customFormat="1">
      <c r="A15" s="92"/>
      <c r="B15" s="98">
        <v>2364150700</v>
      </c>
      <c r="C15" s="113" t="s">
        <v>57</v>
      </c>
      <c r="D15" s="100">
        <f t="shared" ref="D15:O15" si="13">AVERAGE(D64,D112,D162,D212,D262,D312)</f>
        <v>1032.258064516129</v>
      </c>
      <c r="E15" s="100">
        <f t="shared" si="13"/>
        <v>1839.2857142857144</v>
      </c>
      <c r="F15" s="100">
        <f t="shared" si="13"/>
        <v>1645.1612903225807</v>
      </c>
      <c r="G15" s="100">
        <f t="shared" si="13"/>
        <v>1122.2222222222222</v>
      </c>
      <c r="H15" s="100">
        <f t="shared" si="13"/>
        <v>1172.0430107526881</v>
      </c>
      <c r="I15" s="100">
        <f t="shared" si="13"/>
        <v>1027.7777777777776</v>
      </c>
      <c r="J15" s="100">
        <f t="shared" si="13"/>
        <v>1139.7849462365591</v>
      </c>
      <c r="K15" s="100">
        <f t="shared" si="13"/>
        <v>1274.1935483870968</v>
      </c>
      <c r="L15" s="100">
        <f t="shared" si="13"/>
        <v>1883.333333333333</v>
      </c>
      <c r="M15" s="100">
        <f t="shared" si="13"/>
        <v>1677.4193548387095</v>
      </c>
      <c r="N15" s="100">
        <f t="shared" si="13"/>
        <v>1594.4444444444443</v>
      </c>
      <c r="O15" s="100">
        <f t="shared" si="13"/>
        <v>1252.6881720430108</v>
      </c>
      <c r="P15" s="306">
        <f t="shared" si="2"/>
        <v>1388.3843232633553</v>
      </c>
    </row>
    <row r="16" spans="1:16" s="303" customFormat="1">
      <c r="A16" s="92"/>
      <c r="B16" s="98">
        <v>1364150699</v>
      </c>
      <c r="C16" s="113" t="s">
        <v>58</v>
      </c>
      <c r="D16" s="100">
        <f t="shared" ref="D16:O16" si="14">AVERAGE(D65,D113,D163,D213,D263,D313)</f>
        <v>543.01075268817215</v>
      </c>
      <c r="E16" s="100">
        <f t="shared" si="14"/>
        <v>2863.0952380952381</v>
      </c>
      <c r="F16" s="100">
        <f t="shared" si="14"/>
        <v>2134.4086021505373</v>
      </c>
      <c r="G16" s="100">
        <f t="shared" si="14"/>
        <v>2116.6666666666665</v>
      </c>
      <c r="H16" s="100">
        <f t="shared" si="14"/>
        <v>1736.5591397849464</v>
      </c>
      <c r="I16" s="100">
        <f t="shared" si="14"/>
        <v>1500</v>
      </c>
      <c r="J16" s="100">
        <f t="shared" si="14"/>
        <v>3134.4086021505377</v>
      </c>
      <c r="K16" s="100">
        <f t="shared" si="14"/>
        <v>3935.483870967742</v>
      </c>
      <c r="L16" s="100">
        <f t="shared" si="14"/>
        <v>5750</v>
      </c>
      <c r="M16" s="100">
        <f t="shared" si="14"/>
        <v>4392.4731182795695</v>
      </c>
      <c r="N16" s="100">
        <f t="shared" si="14"/>
        <v>2783.3333333333335</v>
      </c>
      <c r="O16" s="100">
        <f t="shared" si="14"/>
        <v>1747.3118279569896</v>
      </c>
      <c r="P16" s="306">
        <f t="shared" si="2"/>
        <v>2719.7292626728108</v>
      </c>
    </row>
    <row r="17" spans="1:16" s="303" customFormat="1">
      <c r="A17" s="92"/>
      <c r="B17" s="97">
        <v>2068150809</v>
      </c>
      <c r="C17" s="113">
        <v>429985</v>
      </c>
      <c r="D17" s="100">
        <f t="shared" ref="D17:O17" si="15">AVERAGE(D66,D114,D164,D214,D264,D314)</f>
        <v>5.376344086021505</v>
      </c>
      <c r="E17" s="100">
        <f t="shared" si="15"/>
        <v>41.666666666666664</v>
      </c>
      <c r="F17" s="100">
        <f t="shared" si="15"/>
        <v>69.892473118279568</v>
      </c>
      <c r="G17" s="100">
        <f t="shared" si="15"/>
        <v>38.888888888888893</v>
      </c>
      <c r="H17" s="100">
        <f t="shared" si="15"/>
        <v>43.01075268817204</v>
      </c>
      <c r="I17" s="100">
        <f t="shared" si="15"/>
        <v>16.666666666666668</v>
      </c>
      <c r="J17" s="100">
        <f t="shared" si="15"/>
        <v>26.881720430107524</v>
      </c>
      <c r="K17" s="100">
        <f t="shared" si="15"/>
        <v>26.881720430107524</v>
      </c>
      <c r="L17" s="100">
        <f t="shared" si="15"/>
        <v>33.333333333333336</v>
      </c>
      <c r="M17" s="100">
        <f t="shared" si="15"/>
        <v>37.634408602150536</v>
      </c>
      <c r="N17" s="100">
        <f t="shared" si="15"/>
        <v>33.333333333333336</v>
      </c>
      <c r="O17" s="100">
        <f t="shared" si="15"/>
        <v>32.258064516129032</v>
      </c>
      <c r="P17" s="306">
        <f t="shared" si="2"/>
        <v>33.818697729988045</v>
      </c>
    </row>
    <row r="18" spans="1:16" s="303" customFormat="1">
      <c r="A18" s="92"/>
      <c r="B18" s="97">
        <v>5756250297</v>
      </c>
      <c r="C18" s="112" t="s">
        <v>60</v>
      </c>
      <c r="D18" s="100">
        <f t="shared" ref="D18:O18" si="16">AVERAGE(D67,D115,D165,D215,D265,D315)</f>
        <v>2586.0215053763441</v>
      </c>
      <c r="E18" s="100">
        <f t="shared" si="16"/>
        <v>4136.9047619047624</v>
      </c>
      <c r="F18" s="100">
        <f t="shared" si="16"/>
        <v>3553.7634408602148</v>
      </c>
      <c r="G18" s="100">
        <f t="shared" si="16"/>
        <v>4911.1111111111104</v>
      </c>
      <c r="H18" s="100">
        <f t="shared" si="16"/>
        <v>4526.8817204301076</v>
      </c>
      <c r="I18" s="100">
        <f t="shared" si="16"/>
        <v>4394.4444444444443</v>
      </c>
      <c r="J18" s="100">
        <f t="shared" si="16"/>
        <v>5983.8709677419356</v>
      </c>
      <c r="K18" s="100">
        <f t="shared" si="16"/>
        <v>20215.053763440857</v>
      </c>
      <c r="L18" s="100">
        <f t="shared" si="16"/>
        <v>14761.111111111111</v>
      </c>
      <c r="M18" s="100">
        <f t="shared" si="16"/>
        <v>11500</v>
      </c>
      <c r="N18" s="100">
        <f t="shared" si="16"/>
        <v>9055.5555555555566</v>
      </c>
      <c r="O18" s="100">
        <f t="shared" si="16"/>
        <v>6758.0645161290313</v>
      </c>
      <c r="P18" s="306">
        <f t="shared" si="2"/>
        <v>7698.5652415087898</v>
      </c>
    </row>
    <row r="19" spans="1:16" s="303" customFormat="1">
      <c r="A19" s="92"/>
      <c r="B19" s="214">
        <v>1665911804</v>
      </c>
      <c r="C19" s="304" t="s">
        <v>61</v>
      </c>
      <c r="D19" s="307">
        <f>AVERAGE(D116,D166,D216,D266,D316)</f>
        <v>748.38709677419354</v>
      </c>
      <c r="E19" s="307">
        <f t="shared" ref="E19:O19" si="17">AVERAGE(E116,E166,E216,E266,E316)</f>
        <v>2371.4285714285716</v>
      </c>
      <c r="F19" s="307">
        <f t="shared" si="17"/>
        <v>2206.4516129032259</v>
      </c>
      <c r="G19" s="307">
        <f t="shared" si="17"/>
        <v>2326.666666666667</v>
      </c>
      <c r="H19" s="307">
        <f t="shared" si="17"/>
        <v>2374.1935483870971</v>
      </c>
      <c r="I19" s="307">
        <f t="shared" si="17"/>
        <v>2633.333333333333</v>
      </c>
      <c r="J19" s="307">
        <f t="shared" si="17"/>
        <v>3277.4193548387098</v>
      </c>
      <c r="K19" s="307">
        <f t="shared" si="17"/>
        <v>4083.8709677419347</v>
      </c>
      <c r="L19" s="307">
        <f t="shared" si="17"/>
        <v>4873.3333333333339</v>
      </c>
      <c r="M19" s="307">
        <f t="shared" si="17"/>
        <v>4367.7419354838712</v>
      </c>
      <c r="N19" s="307">
        <f t="shared" si="17"/>
        <v>3300</v>
      </c>
      <c r="O19" s="307">
        <f t="shared" si="17"/>
        <v>2541.9354838709678</v>
      </c>
      <c r="P19" s="306">
        <f t="shared" si="2"/>
        <v>2925.3968253968255</v>
      </c>
    </row>
    <row r="20" spans="1:16" s="303" customFormat="1">
      <c r="A20" s="92"/>
      <c r="B20" s="98">
        <v>3054467971</v>
      </c>
      <c r="C20" s="112" t="s">
        <v>62</v>
      </c>
      <c r="D20" s="100">
        <f>AVERAGE(D68,D117,D167,D217,D267,D317)</f>
        <v>456.98924731182791</v>
      </c>
      <c r="E20" s="100">
        <f t="shared" ref="E20:O20" si="18">AVERAGE(E68,E117,E167,E217,E267,E317)</f>
        <v>934.52380952380952</v>
      </c>
      <c r="F20" s="100">
        <f t="shared" si="18"/>
        <v>870.9677419354839</v>
      </c>
      <c r="G20" s="100">
        <f t="shared" si="18"/>
        <v>805.55555555555554</v>
      </c>
      <c r="H20" s="100">
        <f t="shared" si="18"/>
        <v>763.4408602150537</v>
      </c>
      <c r="I20" s="100">
        <f t="shared" si="18"/>
        <v>644.44444444444446</v>
      </c>
      <c r="J20" s="100">
        <f t="shared" si="18"/>
        <v>763.44086021505382</v>
      </c>
      <c r="K20" s="100">
        <f t="shared" si="18"/>
        <v>666.66666666666663</v>
      </c>
      <c r="L20" s="100">
        <f t="shared" si="18"/>
        <v>883.33333333333337</v>
      </c>
      <c r="M20" s="100">
        <f t="shared" si="18"/>
        <v>903.22580645161304</v>
      </c>
      <c r="N20" s="100">
        <f t="shared" si="18"/>
        <v>1005.5555555555555</v>
      </c>
      <c r="O20" s="100">
        <f t="shared" si="18"/>
        <v>747.3118279569893</v>
      </c>
      <c r="P20" s="306">
        <f t="shared" si="2"/>
        <v>787.12130909711561</v>
      </c>
    </row>
    <row r="21" spans="1:16" s="303" customFormat="1">
      <c r="A21" s="92"/>
      <c r="B21" s="214">
        <v>3380811569</v>
      </c>
      <c r="C21" s="304" t="s">
        <v>63</v>
      </c>
      <c r="D21" s="307">
        <f>AVERAGE(D118,D168,D218,D268,D318)</f>
        <v>0</v>
      </c>
      <c r="E21" s="307">
        <f t="shared" ref="E21:O21" si="19">AVERAGE(E118,E168,E218,E268,E318)</f>
        <v>14.285714285714286</v>
      </c>
      <c r="F21" s="307">
        <f t="shared" si="19"/>
        <v>12.903225806451612</v>
      </c>
      <c r="G21" s="307">
        <f t="shared" si="19"/>
        <v>6.666666666666667</v>
      </c>
      <c r="H21" s="307">
        <f t="shared" si="19"/>
        <v>12.903225806451612</v>
      </c>
      <c r="I21" s="307">
        <f t="shared" si="19"/>
        <v>6.666666666666667</v>
      </c>
      <c r="J21" s="307">
        <f t="shared" si="19"/>
        <v>25.806451612903224</v>
      </c>
      <c r="K21" s="307">
        <f t="shared" si="19"/>
        <v>6.4516129032258061</v>
      </c>
      <c r="L21" s="307">
        <f t="shared" si="19"/>
        <v>13.333333333333334</v>
      </c>
      <c r="M21" s="307">
        <f t="shared" si="19"/>
        <v>25.806451612903224</v>
      </c>
      <c r="N21" s="307">
        <f t="shared" si="19"/>
        <v>20</v>
      </c>
      <c r="O21" s="307">
        <f t="shared" si="19"/>
        <v>38.709677419354833</v>
      </c>
      <c r="P21" s="306">
        <f t="shared" si="2"/>
        <v>15.294418842805939</v>
      </c>
    </row>
    <row r="22" spans="1:16" s="303" customFormat="1">
      <c r="A22" s="92"/>
      <c r="B22" s="92"/>
      <c r="C22" s="92"/>
      <c r="D22" s="110">
        <f>SUM(D3:D20)</f>
        <v>17791.397849462366</v>
      </c>
      <c r="E22" s="110">
        <f t="shared" ref="E22:O22" si="20">SUM(E3:E20)</f>
        <v>42198.809523809519</v>
      </c>
      <c r="F22" s="110">
        <f t="shared" si="20"/>
        <v>35943.010752688169</v>
      </c>
      <c r="G22" s="110">
        <f t="shared" si="20"/>
        <v>38510</v>
      </c>
      <c r="H22" s="110">
        <f t="shared" si="20"/>
        <v>37680.645161290318</v>
      </c>
      <c r="I22" s="110">
        <f t="shared" si="20"/>
        <v>29283.333333333332</v>
      </c>
      <c r="J22" s="110">
        <f t="shared" si="20"/>
        <v>39868.817204301078</v>
      </c>
      <c r="K22" s="110">
        <f t="shared" si="20"/>
        <v>56309.677419354834</v>
      </c>
      <c r="L22" s="110">
        <f t="shared" si="20"/>
        <v>68928.888888888891</v>
      </c>
      <c r="M22" s="110">
        <f t="shared" si="20"/>
        <v>59335.48387096775</v>
      </c>
      <c r="N22" s="110">
        <f t="shared" si="20"/>
        <v>47044.444444444438</v>
      </c>
      <c r="O22" s="110">
        <f t="shared" si="20"/>
        <v>35230.107526881715</v>
      </c>
      <c r="P22" s="306">
        <f>SUM(P3:P21)</f>
        <v>42359.012416794671</v>
      </c>
    </row>
    <row r="23" spans="1:16" s="303" customFormat="1"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6" s="303" customFormat="1"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6" s="303" customFormat="1">
      <c r="A25" s="79"/>
      <c r="B25" s="79"/>
      <c r="C25" s="79"/>
      <c r="D25" s="79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9"/>
    </row>
    <row r="26" spans="1:16" s="57" customFormat="1">
      <c r="A26" s="101" t="s">
        <v>72</v>
      </c>
      <c r="B26" s="93">
        <v>2019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</row>
    <row r="27" spans="1:16" s="57" customFormat="1" ht="15.75" thickBot="1">
      <c r="A27" s="94" t="s">
        <v>30</v>
      </c>
      <c r="B27" s="95" t="s">
        <v>31</v>
      </c>
      <c r="C27" s="95" t="s">
        <v>32</v>
      </c>
      <c r="D27" s="95" t="s">
        <v>33</v>
      </c>
      <c r="E27" s="95" t="s">
        <v>34</v>
      </c>
      <c r="F27" s="95" t="s">
        <v>35</v>
      </c>
      <c r="G27" s="95" t="s">
        <v>36</v>
      </c>
      <c r="H27" s="95" t="s">
        <v>37</v>
      </c>
      <c r="I27" s="95" t="s">
        <v>38</v>
      </c>
      <c r="J27" s="95" t="s">
        <v>39</v>
      </c>
      <c r="K27" s="95" t="s">
        <v>40</v>
      </c>
      <c r="L27" s="95" t="s">
        <v>41</v>
      </c>
      <c r="M27" s="95" t="s">
        <v>42</v>
      </c>
      <c r="N27" s="95" t="s">
        <v>43</v>
      </c>
      <c r="O27" s="95" t="s">
        <v>44</v>
      </c>
      <c r="P27" s="96" t="s">
        <v>100</v>
      </c>
    </row>
    <row r="28" spans="1:16" s="57" customFormat="1">
      <c r="A28" s="92"/>
      <c r="B28" s="97">
        <v>7534810685</v>
      </c>
      <c r="C28" s="113" t="s">
        <v>45</v>
      </c>
      <c r="D28" s="100">
        <v>17</v>
      </c>
      <c r="E28" s="100">
        <v>22</v>
      </c>
      <c r="F28" s="100">
        <v>21</v>
      </c>
      <c r="G28" s="100">
        <v>20</v>
      </c>
      <c r="H28" s="100">
        <v>22</v>
      </c>
      <c r="I28" s="100">
        <v>17</v>
      </c>
      <c r="J28" s="100">
        <v>15</v>
      </c>
      <c r="K28" s="100">
        <v>16</v>
      </c>
      <c r="L28" s="100">
        <v>17</v>
      </c>
      <c r="M28" s="100">
        <v>16</v>
      </c>
      <c r="N28" s="100">
        <v>14</v>
      </c>
      <c r="O28" s="100">
        <v>13</v>
      </c>
      <c r="P28" s="111">
        <f>SUM(D28:O28)</f>
        <v>210</v>
      </c>
    </row>
    <row r="29" spans="1:16" s="57" customFormat="1">
      <c r="A29" s="92"/>
      <c r="B29" s="97">
        <v>4366050935</v>
      </c>
      <c r="C29" s="113" t="s">
        <v>46</v>
      </c>
      <c r="D29" s="100">
        <v>5</v>
      </c>
      <c r="E29" s="100">
        <v>24</v>
      </c>
      <c r="F29" s="100">
        <v>20</v>
      </c>
      <c r="G29" s="100">
        <v>28</v>
      </c>
      <c r="H29" s="100">
        <v>19</v>
      </c>
      <c r="I29" s="100">
        <v>3</v>
      </c>
      <c r="J29" s="100">
        <v>9</v>
      </c>
      <c r="K29" s="100">
        <v>28</v>
      </c>
      <c r="L29" s="100">
        <v>22</v>
      </c>
      <c r="M29" s="100">
        <v>26</v>
      </c>
      <c r="N29" s="100">
        <v>25</v>
      </c>
      <c r="O29" s="100">
        <v>20</v>
      </c>
      <c r="P29" s="111">
        <f t="shared" ref="P29:P44" si="21">SUM(D29:O29)</f>
        <v>229</v>
      </c>
    </row>
    <row r="30" spans="1:16" s="57" customFormat="1">
      <c r="A30" s="92"/>
      <c r="B30" s="97">
        <v>6366050937</v>
      </c>
      <c r="C30" s="113" t="s">
        <v>47</v>
      </c>
      <c r="D30" s="100">
        <v>8</v>
      </c>
      <c r="E30" s="100">
        <v>32</v>
      </c>
      <c r="F30" s="100">
        <v>26</v>
      </c>
      <c r="G30" s="100">
        <v>35</v>
      </c>
      <c r="H30" s="100">
        <v>28</v>
      </c>
      <c r="I30" s="100">
        <v>6</v>
      </c>
      <c r="J30" s="100">
        <v>5</v>
      </c>
      <c r="K30" s="100">
        <v>2</v>
      </c>
      <c r="L30" s="100">
        <v>28</v>
      </c>
      <c r="M30" s="100">
        <v>48</v>
      </c>
      <c r="N30" s="100">
        <v>36</v>
      </c>
      <c r="O30" s="100">
        <v>30</v>
      </c>
      <c r="P30" s="111">
        <f t="shared" si="21"/>
        <v>284</v>
      </c>
    </row>
    <row r="31" spans="1:16" s="57" customFormat="1">
      <c r="A31" s="92"/>
      <c r="B31" s="97">
        <v>7366050938</v>
      </c>
      <c r="C31" s="113" t="s">
        <v>48</v>
      </c>
      <c r="D31" s="100">
        <v>27</v>
      </c>
      <c r="E31" s="100">
        <v>46</v>
      </c>
      <c r="F31" s="100">
        <v>56</v>
      </c>
      <c r="G31" s="100">
        <v>45</v>
      </c>
      <c r="H31" s="100">
        <v>42</v>
      </c>
      <c r="I31" s="100">
        <v>45</v>
      </c>
      <c r="J31" s="100">
        <v>35</v>
      </c>
      <c r="K31" s="100">
        <v>38</v>
      </c>
      <c r="L31" s="100">
        <v>41</v>
      </c>
      <c r="M31" s="100">
        <v>48</v>
      </c>
      <c r="N31" s="100">
        <v>46</v>
      </c>
      <c r="O31" s="100">
        <v>40</v>
      </c>
      <c r="P31" s="111">
        <f t="shared" si="21"/>
        <v>509</v>
      </c>
    </row>
    <row r="32" spans="1:16" s="57" customFormat="1">
      <c r="A32" s="92"/>
      <c r="B32" s="97">
        <v>3366050934</v>
      </c>
      <c r="C32" s="113" t="s">
        <v>49</v>
      </c>
      <c r="D32" s="100">
        <v>379</v>
      </c>
      <c r="E32" s="100">
        <v>315</v>
      </c>
      <c r="F32" s="100">
        <v>301</v>
      </c>
      <c r="G32" s="100">
        <v>308</v>
      </c>
      <c r="H32" s="100">
        <v>316</v>
      </c>
      <c r="I32" s="100">
        <v>205</v>
      </c>
      <c r="J32" s="100">
        <v>77</v>
      </c>
      <c r="K32" s="100">
        <v>81</v>
      </c>
      <c r="L32" s="100">
        <v>240</v>
      </c>
      <c r="M32" s="100">
        <v>279</v>
      </c>
      <c r="N32" s="100">
        <v>254</v>
      </c>
      <c r="O32" s="100">
        <v>161</v>
      </c>
      <c r="P32" s="111">
        <f t="shared" si="21"/>
        <v>2916</v>
      </c>
    </row>
    <row r="33" spans="1:16" s="57" customFormat="1">
      <c r="A33" s="92"/>
      <c r="B33" s="97">
        <v>5581150299</v>
      </c>
      <c r="C33" s="113" t="s">
        <v>50</v>
      </c>
      <c r="D33" s="100">
        <v>37</v>
      </c>
      <c r="E33" s="100">
        <v>142</v>
      </c>
      <c r="F33" s="100">
        <v>143</v>
      </c>
      <c r="G33" s="100">
        <v>146</v>
      </c>
      <c r="H33" s="100">
        <v>137</v>
      </c>
      <c r="I33" s="100">
        <v>59</v>
      </c>
      <c r="J33" s="100">
        <v>115</v>
      </c>
      <c r="K33" s="100">
        <v>248</v>
      </c>
      <c r="L33" s="100">
        <v>274</v>
      </c>
      <c r="M33" s="100">
        <v>197</v>
      </c>
      <c r="N33" s="100">
        <v>102</v>
      </c>
      <c r="O33" s="100">
        <v>89</v>
      </c>
      <c r="P33" s="111">
        <f t="shared" si="21"/>
        <v>1689</v>
      </c>
    </row>
    <row r="34" spans="1:16" s="57" customFormat="1">
      <c r="A34" s="92"/>
      <c r="B34" s="97">
        <v>5366050936</v>
      </c>
      <c r="C34" s="113" t="s">
        <v>51</v>
      </c>
      <c r="D34" s="100">
        <v>11</v>
      </c>
      <c r="E34" s="100">
        <v>34</v>
      </c>
      <c r="F34" s="100">
        <v>38</v>
      </c>
      <c r="G34" s="100">
        <v>37</v>
      </c>
      <c r="H34" s="100">
        <v>35</v>
      </c>
      <c r="I34" s="100">
        <v>9</v>
      </c>
      <c r="J34" s="100">
        <v>10</v>
      </c>
      <c r="K34" s="100">
        <v>1</v>
      </c>
      <c r="L34" s="100">
        <v>18</v>
      </c>
      <c r="M34" s="100">
        <v>27</v>
      </c>
      <c r="N34" s="100">
        <v>28</v>
      </c>
      <c r="O34" s="100">
        <v>24</v>
      </c>
      <c r="P34" s="111">
        <f t="shared" si="21"/>
        <v>272</v>
      </c>
    </row>
    <row r="35" spans="1:16" s="57" customFormat="1">
      <c r="A35" s="92"/>
      <c r="B35" s="97">
        <v>2052150585</v>
      </c>
      <c r="C35" s="113" t="s">
        <v>52</v>
      </c>
      <c r="D35" s="100">
        <v>374</v>
      </c>
      <c r="E35" s="100">
        <v>554</v>
      </c>
      <c r="F35" s="100">
        <v>509</v>
      </c>
      <c r="G35" s="100">
        <v>504</v>
      </c>
      <c r="H35" s="100">
        <v>360</v>
      </c>
      <c r="I35" s="100">
        <v>187</v>
      </c>
      <c r="J35" s="100">
        <v>250</v>
      </c>
      <c r="K35" s="100">
        <v>337</v>
      </c>
      <c r="L35" s="100">
        <v>421</v>
      </c>
      <c r="M35" s="100">
        <v>452</v>
      </c>
      <c r="N35" s="100">
        <v>240</v>
      </c>
      <c r="O35" s="100">
        <v>218</v>
      </c>
      <c r="P35" s="111">
        <f t="shared" si="21"/>
        <v>4406</v>
      </c>
    </row>
    <row r="36" spans="1:16" s="57" customFormat="1">
      <c r="A36" s="92"/>
      <c r="B36" s="97">
        <v>8635150066</v>
      </c>
      <c r="C36" s="113" t="s">
        <v>53</v>
      </c>
      <c r="D36" s="100">
        <v>1</v>
      </c>
      <c r="E36" s="100">
        <v>6</v>
      </c>
      <c r="F36" s="100">
        <v>6</v>
      </c>
      <c r="G36" s="100">
        <v>5</v>
      </c>
      <c r="H36" s="100">
        <v>4</v>
      </c>
      <c r="I36" s="100">
        <v>3</v>
      </c>
      <c r="J36" s="100">
        <v>3</v>
      </c>
      <c r="K36" s="100">
        <v>3</v>
      </c>
      <c r="L36" s="100">
        <v>4</v>
      </c>
      <c r="M36" s="100">
        <v>5</v>
      </c>
      <c r="N36" s="100">
        <v>4</v>
      </c>
      <c r="O36" s="100">
        <v>3</v>
      </c>
      <c r="P36" s="111">
        <f t="shared" si="21"/>
        <v>47</v>
      </c>
    </row>
    <row r="37" spans="1:16" s="57" customFormat="1">
      <c r="A37" s="92"/>
      <c r="B37" s="98">
        <v>6663150208</v>
      </c>
      <c r="C37" s="113" t="s">
        <v>54</v>
      </c>
      <c r="D37" s="100">
        <v>20</v>
      </c>
      <c r="E37" s="100">
        <v>47</v>
      </c>
      <c r="F37" s="100">
        <v>36</v>
      </c>
      <c r="G37" s="100">
        <v>40</v>
      </c>
      <c r="H37" s="100">
        <v>40</v>
      </c>
      <c r="I37" s="100">
        <v>21</v>
      </c>
      <c r="J37" s="100">
        <v>19</v>
      </c>
      <c r="K37" s="100">
        <v>18</v>
      </c>
      <c r="L37" s="100">
        <v>21</v>
      </c>
      <c r="M37" s="100">
        <v>35</v>
      </c>
      <c r="N37" s="100">
        <v>39</v>
      </c>
      <c r="O37" s="100">
        <v>34</v>
      </c>
      <c r="P37" s="111">
        <f t="shared" si="21"/>
        <v>370</v>
      </c>
    </row>
    <row r="38" spans="1:16" s="57" customFormat="1">
      <c r="A38" s="92"/>
      <c r="B38" s="97">
        <v>6068150813</v>
      </c>
      <c r="C38" s="113" t="s">
        <v>55</v>
      </c>
      <c r="D38" s="100">
        <v>6</v>
      </c>
      <c r="E38" s="100">
        <v>28</v>
      </c>
      <c r="F38" s="100">
        <v>24</v>
      </c>
      <c r="G38" s="100">
        <v>29</v>
      </c>
      <c r="H38" s="100">
        <v>72</v>
      </c>
      <c r="I38" s="100">
        <v>145</v>
      </c>
      <c r="J38" s="100">
        <v>183</v>
      </c>
      <c r="K38" s="100">
        <v>228</v>
      </c>
      <c r="L38" s="100">
        <v>188</v>
      </c>
      <c r="M38" s="100">
        <v>174</v>
      </c>
      <c r="N38" s="100">
        <v>56</v>
      </c>
      <c r="O38" s="100">
        <v>23</v>
      </c>
      <c r="P38" s="111">
        <f t="shared" si="21"/>
        <v>1156</v>
      </c>
    </row>
    <row r="39" spans="1:16" s="57" customFormat="1">
      <c r="A39" s="92"/>
      <c r="B39" s="98">
        <v>5068150812</v>
      </c>
      <c r="C39" s="113" t="s">
        <v>56</v>
      </c>
      <c r="D39" s="100">
        <v>7</v>
      </c>
      <c r="E39" s="100">
        <v>18</v>
      </c>
      <c r="F39" s="100">
        <v>16</v>
      </c>
      <c r="G39" s="100">
        <v>22</v>
      </c>
      <c r="H39" s="100">
        <v>14</v>
      </c>
      <c r="I39" s="100">
        <v>9</v>
      </c>
      <c r="J39" s="100">
        <v>9</v>
      </c>
      <c r="K39" s="100">
        <v>31</v>
      </c>
      <c r="L39" s="100">
        <v>30</v>
      </c>
      <c r="M39" s="100">
        <v>28</v>
      </c>
      <c r="N39" s="100">
        <v>19</v>
      </c>
      <c r="O39" s="100">
        <v>13</v>
      </c>
      <c r="P39" s="111">
        <f t="shared" si="21"/>
        <v>216</v>
      </c>
    </row>
    <row r="40" spans="1:16" s="57" customFormat="1">
      <c r="A40" s="92"/>
      <c r="B40" s="98">
        <v>2364150700</v>
      </c>
      <c r="C40" s="113" t="s">
        <v>57</v>
      </c>
      <c r="D40" s="100">
        <v>43</v>
      </c>
      <c r="E40" s="100">
        <v>77</v>
      </c>
      <c r="F40" s="100">
        <v>52</v>
      </c>
      <c r="G40" s="100">
        <v>47</v>
      </c>
      <c r="H40" s="100">
        <v>53</v>
      </c>
      <c r="I40" s="100">
        <v>36</v>
      </c>
      <c r="J40" s="100">
        <v>33</v>
      </c>
      <c r="K40" s="100">
        <v>47</v>
      </c>
      <c r="L40" s="100">
        <v>57</v>
      </c>
      <c r="M40" s="100">
        <v>73</v>
      </c>
      <c r="N40" s="100">
        <v>54</v>
      </c>
      <c r="O40" s="100">
        <v>51</v>
      </c>
      <c r="P40" s="111">
        <f t="shared" si="21"/>
        <v>623</v>
      </c>
    </row>
    <row r="41" spans="1:16" s="57" customFormat="1">
      <c r="A41" s="92"/>
      <c r="B41" s="98">
        <v>1364150699</v>
      </c>
      <c r="C41" s="113" t="s">
        <v>58</v>
      </c>
      <c r="D41" s="100">
        <v>30</v>
      </c>
      <c r="E41" s="100">
        <v>117</v>
      </c>
      <c r="F41" s="100">
        <v>103</v>
      </c>
      <c r="G41" s="100">
        <v>125</v>
      </c>
      <c r="H41" s="100">
        <v>113</v>
      </c>
      <c r="I41" s="100">
        <v>85</v>
      </c>
      <c r="J41" s="100">
        <v>118</v>
      </c>
      <c r="K41" s="100">
        <v>143</v>
      </c>
      <c r="L41" s="100">
        <v>158</v>
      </c>
      <c r="M41" s="100">
        <v>184</v>
      </c>
      <c r="N41" s="100">
        <v>123</v>
      </c>
      <c r="O41" s="100">
        <v>101</v>
      </c>
      <c r="P41" s="111">
        <f t="shared" si="21"/>
        <v>1400</v>
      </c>
    </row>
    <row r="42" spans="1:16" s="57" customFormat="1">
      <c r="A42" s="92"/>
      <c r="B42" s="97">
        <v>2068150809</v>
      </c>
      <c r="C42" s="113">
        <v>429985</v>
      </c>
      <c r="D42" s="100">
        <v>0</v>
      </c>
      <c r="E42" s="100">
        <v>2</v>
      </c>
      <c r="F42" s="100">
        <v>1</v>
      </c>
      <c r="G42" s="100">
        <v>1</v>
      </c>
      <c r="H42" s="100">
        <v>1</v>
      </c>
      <c r="I42" s="100">
        <v>1</v>
      </c>
      <c r="J42" s="100">
        <v>1</v>
      </c>
      <c r="K42" s="100">
        <v>1</v>
      </c>
      <c r="L42" s="100">
        <v>1</v>
      </c>
      <c r="M42" s="100">
        <v>2</v>
      </c>
      <c r="N42" s="100">
        <v>1</v>
      </c>
      <c r="O42" s="100">
        <v>1</v>
      </c>
      <c r="P42" s="111">
        <f t="shared" si="21"/>
        <v>13</v>
      </c>
    </row>
    <row r="43" spans="1:16" s="57" customFormat="1">
      <c r="A43" s="92"/>
      <c r="B43" s="97">
        <v>5756250297</v>
      </c>
      <c r="C43" s="112" t="s">
        <v>60</v>
      </c>
      <c r="D43" s="100">
        <v>6</v>
      </c>
      <c r="E43" s="100">
        <v>9</v>
      </c>
      <c r="F43" s="100">
        <v>15</v>
      </c>
      <c r="G43" s="100">
        <v>18</v>
      </c>
      <c r="H43" s="100">
        <v>22</v>
      </c>
      <c r="I43" s="100">
        <v>18</v>
      </c>
      <c r="J43" s="100">
        <v>21</v>
      </c>
      <c r="K43" s="100">
        <v>19</v>
      </c>
      <c r="L43" s="100">
        <v>23</v>
      </c>
      <c r="M43" s="100">
        <v>26</v>
      </c>
      <c r="N43" s="100">
        <v>33</v>
      </c>
      <c r="O43" s="100">
        <v>15</v>
      </c>
      <c r="P43" s="111">
        <f t="shared" si="21"/>
        <v>225</v>
      </c>
    </row>
    <row r="44" spans="1:16" s="57" customFormat="1">
      <c r="A44" s="92"/>
      <c r="B44" s="98">
        <v>3054467971</v>
      </c>
      <c r="C44" s="112" t="s">
        <v>62</v>
      </c>
      <c r="D44" s="100">
        <v>22</v>
      </c>
      <c r="E44" s="100">
        <v>39</v>
      </c>
      <c r="F44" s="100">
        <v>38</v>
      </c>
      <c r="G44" s="100">
        <v>43</v>
      </c>
      <c r="H44" s="100">
        <v>41</v>
      </c>
      <c r="I44" s="100">
        <v>29</v>
      </c>
      <c r="J44" s="100">
        <v>33</v>
      </c>
      <c r="K44" s="100">
        <v>29</v>
      </c>
      <c r="L44" s="100">
        <v>32</v>
      </c>
      <c r="M44" s="100">
        <v>41</v>
      </c>
      <c r="N44" s="100">
        <v>39</v>
      </c>
      <c r="O44" s="100">
        <v>33</v>
      </c>
      <c r="P44" s="111">
        <f t="shared" si="21"/>
        <v>419</v>
      </c>
    </row>
    <row r="45" spans="1:16" s="57" customFormat="1">
      <c r="A45" s="92"/>
      <c r="B45" s="92"/>
      <c r="C45" s="92"/>
      <c r="D45" s="110">
        <f>SUM(D28:D44)</f>
        <v>993</v>
      </c>
      <c r="E45" s="110">
        <f t="shared" ref="E45:O45" si="22">SUM(E28:E44)</f>
        <v>1512</v>
      </c>
      <c r="F45" s="110">
        <f t="shared" si="22"/>
        <v>1405</v>
      </c>
      <c r="G45" s="110">
        <f t="shared" si="22"/>
        <v>1453</v>
      </c>
      <c r="H45" s="110">
        <f t="shared" si="22"/>
        <v>1319</v>
      </c>
      <c r="I45" s="110">
        <f t="shared" si="22"/>
        <v>878</v>
      </c>
      <c r="J45" s="110">
        <f t="shared" si="22"/>
        <v>936</v>
      </c>
      <c r="K45" s="110">
        <f t="shared" si="22"/>
        <v>1270</v>
      </c>
      <c r="L45" s="110">
        <f t="shared" si="22"/>
        <v>1575</v>
      </c>
      <c r="M45" s="110">
        <f t="shared" si="22"/>
        <v>1661</v>
      </c>
      <c r="N45" s="110">
        <f t="shared" si="22"/>
        <v>1113</v>
      </c>
      <c r="O45" s="110">
        <f t="shared" si="22"/>
        <v>869</v>
      </c>
      <c r="P45" s="299">
        <f>SUM(P28:P44)</f>
        <v>14984</v>
      </c>
    </row>
    <row r="46" spans="1:16" s="57" customFormat="1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6" s="57" customFormat="1">
      <c r="A47" s="92"/>
      <c r="B47" s="92"/>
      <c r="C47" s="99" t="s">
        <v>64</v>
      </c>
      <c r="D47" s="100">
        <f>D45*1000</f>
        <v>993000</v>
      </c>
      <c r="E47" s="100">
        <f t="shared" ref="E47:P47" si="23">E45*1000</f>
        <v>1512000</v>
      </c>
      <c r="F47" s="100">
        <f t="shared" si="23"/>
        <v>1405000</v>
      </c>
      <c r="G47" s="100">
        <f t="shared" si="23"/>
        <v>1453000</v>
      </c>
      <c r="H47" s="100">
        <f t="shared" si="23"/>
        <v>1319000</v>
      </c>
      <c r="I47" s="100">
        <f t="shared" si="23"/>
        <v>878000</v>
      </c>
      <c r="J47" s="100">
        <f t="shared" si="23"/>
        <v>936000</v>
      </c>
      <c r="K47" s="100">
        <f t="shared" si="23"/>
        <v>1270000</v>
      </c>
      <c r="L47" s="100">
        <f t="shared" si="23"/>
        <v>1575000</v>
      </c>
      <c r="M47" s="100">
        <f t="shared" si="23"/>
        <v>1661000</v>
      </c>
      <c r="N47" s="100">
        <f t="shared" si="23"/>
        <v>1113000</v>
      </c>
      <c r="O47" s="100">
        <f t="shared" si="23"/>
        <v>869000</v>
      </c>
      <c r="P47" s="100">
        <f t="shared" si="23"/>
        <v>14984000</v>
      </c>
    </row>
    <row r="48" spans="1:16" s="57" customFormat="1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6" s="57" customFormat="1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6" s="57" customFormat="1">
      <c r="A50" s="109" t="s">
        <v>73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1:16" s="57" customFormat="1" ht="15.75" thickBot="1">
      <c r="A51" s="103" t="s">
        <v>30</v>
      </c>
      <c r="B51" s="104" t="s">
        <v>31</v>
      </c>
      <c r="C51" s="105" t="s">
        <v>32</v>
      </c>
      <c r="D51" s="106" t="s">
        <v>33</v>
      </c>
      <c r="E51" s="107" t="s">
        <v>34</v>
      </c>
      <c r="F51" s="108" t="s">
        <v>35</v>
      </c>
      <c r="G51" s="108" t="s">
        <v>36</v>
      </c>
      <c r="H51" s="108" t="s">
        <v>37</v>
      </c>
      <c r="I51" s="108" t="s">
        <v>38</v>
      </c>
      <c r="J51" s="108" t="s">
        <v>39</v>
      </c>
      <c r="K51" s="108" t="s">
        <v>40</v>
      </c>
      <c r="L51" s="108" t="s">
        <v>41</v>
      </c>
      <c r="M51" s="108" t="s">
        <v>42</v>
      </c>
      <c r="N51" s="108" t="s">
        <v>43</v>
      </c>
      <c r="O51" s="108" t="s">
        <v>44</v>
      </c>
      <c r="P51" s="92"/>
    </row>
    <row r="52" spans="1:16" s="18" customFormat="1">
      <c r="A52" s="291"/>
      <c r="B52" s="292">
        <v>7534810685</v>
      </c>
      <c r="C52" s="293" t="s">
        <v>45</v>
      </c>
      <c r="D52" s="294">
        <f>(D28*1000)/31</f>
        <v>548.38709677419354</v>
      </c>
      <c r="E52" s="294">
        <f>(E28*1000)/28</f>
        <v>785.71428571428567</v>
      </c>
      <c r="F52" s="294">
        <f>(F28*1000)/31</f>
        <v>677.41935483870964</v>
      </c>
      <c r="G52" s="294">
        <f>(G28*1000)/30</f>
        <v>666.66666666666663</v>
      </c>
      <c r="H52" s="294">
        <f>(H28*1000)/31</f>
        <v>709.67741935483866</v>
      </c>
      <c r="I52" s="294">
        <f>(I28*1000)/30</f>
        <v>566.66666666666663</v>
      </c>
      <c r="J52" s="294">
        <f>(J28*1000)/31</f>
        <v>483.87096774193549</v>
      </c>
      <c r="K52" s="294">
        <f>(K28*1000)/31</f>
        <v>516.12903225806451</v>
      </c>
      <c r="L52" s="294">
        <f>(L28*1000)/30</f>
        <v>566.66666666666663</v>
      </c>
      <c r="M52" s="294">
        <f>(M28*1000)/31</f>
        <v>516.12903225806451</v>
      </c>
      <c r="N52" s="294">
        <f>(N28*1000)/30</f>
        <v>466.66666666666669</v>
      </c>
      <c r="O52" s="294">
        <f t="shared" ref="O52:O68" si="24">(O28*1000)/31</f>
        <v>419.35483870967744</v>
      </c>
      <c r="P52" s="295"/>
    </row>
    <row r="53" spans="1:16" s="18" customFormat="1">
      <c r="A53" s="291"/>
      <c r="B53" s="292">
        <v>4366050935</v>
      </c>
      <c r="C53" s="293" t="s">
        <v>46</v>
      </c>
      <c r="D53" s="294">
        <f t="shared" ref="D53:D68" si="25">(D29*1000)/31</f>
        <v>161.29032258064515</v>
      </c>
      <c r="E53" s="294">
        <f t="shared" ref="E53:E68" si="26">(E29*1000)/28</f>
        <v>857.14285714285711</v>
      </c>
      <c r="F53" s="294">
        <f t="shared" ref="F53:F68" si="27">(F29*1000)/31</f>
        <v>645.16129032258061</v>
      </c>
      <c r="G53" s="294">
        <f t="shared" ref="G53:G68" si="28">(G29*1000)/30</f>
        <v>933.33333333333337</v>
      </c>
      <c r="H53" s="294">
        <f t="shared" ref="H53:H68" si="29">(H29*1000)/31</f>
        <v>612.90322580645159</v>
      </c>
      <c r="I53" s="294">
        <f t="shared" ref="I53:I68" si="30">(I29*1000)/30</f>
        <v>100</v>
      </c>
      <c r="J53" s="294">
        <f t="shared" ref="J53:K68" si="31">(J29*1000)/31</f>
        <v>290.32258064516128</v>
      </c>
      <c r="K53" s="294">
        <f t="shared" si="31"/>
        <v>903.22580645161293</v>
      </c>
      <c r="L53" s="294">
        <f t="shared" ref="L53:L68" si="32">(L29*1000)/30</f>
        <v>733.33333333333337</v>
      </c>
      <c r="M53" s="294">
        <f t="shared" ref="M53:M68" si="33">(M29*1000)/31</f>
        <v>838.70967741935488</v>
      </c>
      <c r="N53" s="294">
        <f t="shared" ref="N53:N68" si="34">(N29*1000)/30</f>
        <v>833.33333333333337</v>
      </c>
      <c r="O53" s="294">
        <f t="shared" si="24"/>
        <v>645.16129032258061</v>
      </c>
      <c r="P53" s="295"/>
    </row>
    <row r="54" spans="1:16" s="18" customFormat="1">
      <c r="A54" s="291"/>
      <c r="B54" s="292">
        <v>6366050937</v>
      </c>
      <c r="C54" s="293" t="s">
        <v>47</v>
      </c>
      <c r="D54" s="294">
        <f t="shared" si="25"/>
        <v>258.06451612903226</v>
      </c>
      <c r="E54" s="294">
        <f t="shared" si="26"/>
        <v>1142.8571428571429</v>
      </c>
      <c r="F54" s="294">
        <f t="shared" si="27"/>
        <v>838.70967741935488</v>
      </c>
      <c r="G54" s="294">
        <f t="shared" si="28"/>
        <v>1166.6666666666667</v>
      </c>
      <c r="H54" s="294">
        <f t="shared" si="29"/>
        <v>903.22580645161293</v>
      </c>
      <c r="I54" s="294">
        <f t="shared" si="30"/>
        <v>200</v>
      </c>
      <c r="J54" s="294">
        <f t="shared" si="31"/>
        <v>161.29032258064515</v>
      </c>
      <c r="K54" s="294">
        <f t="shared" si="31"/>
        <v>64.516129032258064</v>
      </c>
      <c r="L54" s="294">
        <f t="shared" si="32"/>
        <v>933.33333333333337</v>
      </c>
      <c r="M54" s="294">
        <f t="shared" si="33"/>
        <v>1548.3870967741937</v>
      </c>
      <c r="N54" s="294">
        <f t="shared" si="34"/>
        <v>1200</v>
      </c>
      <c r="O54" s="294">
        <f t="shared" si="24"/>
        <v>967.74193548387098</v>
      </c>
      <c r="P54" s="295"/>
    </row>
    <row r="55" spans="1:16" s="18" customFormat="1">
      <c r="A55" s="291"/>
      <c r="B55" s="292">
        <v>7366050938</v>
      </c>
      <c r="C55" s="293" t="s">
        <v>48</v>
      </c>
      <c r="D55" s="294">
        <f t="shared" si="25"/>
        <v>870.9677419354839</v>
      </c>
      <c r="E55" s="294">
        <f t="shared" si="26"/>
        <v>1642.8571428571429</v>
      </c>
      <c r="F55" s="294">
        <f t="shared" si="27"/>
        <v>1806.4516129032259</v>
      </c>
      <c r="G55" s="294">
        <f t="shared" si="28"/>
        <v>1500</v>
      </c>
      <c r="H55" s="294">
        <f t="shared" si="29"/>
        <v>1354.8387096774193</v>
      </c>
      <c r="I55" s="294">
        <f t="shared" si="30"/>
        <v>1500</v>
      </c>
      <c r="J55" s="294">
        <f t="shared" si="31"/>
        <v>1129.0322580645161</v>
      </c>
      <c r="K55" s="294">
        <f t="shared" si="31"/>
        <v>1225.8064516129032</v>
      </c>
      <c r="L55" s="294">
        <f t="shared" si="32"/>
        <v>1366.6666666666667</v>
      </c>
      <c r="M55" s="294">
        <f t="shared" si="33"/>
        <v>1548.3870967741937</v>
      </c>
      <c r="N55" s="294">
        <f t="shared" si="34"/>
        <v>1533.3333333333333</v>
      </c>
      <c r="O55" s="294">
        <f t="shared" si="24"/>
        <v>1290.3225806451612</v>
      </c>
      <c r="P55" s="295"/>
    </row>
    <row r="56" spans="1:16" s="18" customFormat="1">
      <c r="A56" s="291"/>
      <c r="B56" s="292">
        <v>3366050934</v>
      </c>
      <c r="C56" s="293" t="s">
        <v>49</v>
      </c>
      <c r="D56" s="294">
        <f t="shared" si="25"/>
        <v>12225.806451612903</v>
      </c>
      <c r="E56" s="294">
        <f t="shared" si="26"/>
        <v>11250</v>
      </c>
      <c r="F56" s="294">
        <f t="shared" si="27"/>
        <v>9709.677419354839</v>
      </c>
      <c r="G56" s="294">
        <f t="shared" si="28"/>
        <v>10266.666666666666</v>
      </c>
      <c r="H56" s="294">
        <f t="shared" si="29"/>
        <v>10193.548387096775</v>
      </c>
      <c r="I56" s="294">
        <f t="shared" si="30"/>
        <v>6833.333333333333</v>
      </c>
      <c r="J56" s="294">
        <f t="shared" si="31"/>
        <v>2483.8709677419356</v>
      </c>
      <c r="K56" s="294">
        <f t="shared" si="31"/>
        <v>2612.9032258064517</v>
      </c>
      <c r="L56" s="294">
        <f t="shared" si="32"/>
        <v>8000</v>
      </c>
      <c r="M56" s="294">
        <f t="shared" si="33"/>
        <v>9000</v>
      </c>
      <c r="N56" s="294">
        <f t="shared" si="34"/>
        <v>8466.6666666666661</v>
      </c>
      <c r="O56" s="294">
        <f t="shared" si="24"/>
        <v>5193.5483870967746</v>
      </c>
      <c r="P56" s="295"/>
    </row>
    <row r="57" spans="1:16" s="18" customFormat="1">
      <c r="A57" s="291"/>
      <c r="B57" s="296">
        <v>5581150299</v>
      </c>
      <c r="C57" s="293" t="s">
        <v>50</v>
      </c>
      <c r="D57" s="294">
        <f t="shared" si="25"/>
        <v>1193.5483870967741</v>
      </c>
      <c r="E57" s="294">
        <f t="shared" si="26"/>
        <v>5071.4285714285716</v>
      </c>
      <c r="F57" s="294">
        <f t="shared" si="27"/>
        <v>4612.9032258064517</v>
      </c>
      <c r="G57" s="294">
        <f t="shared" si="28"/>
        <v>4866.666666666667</v>
      </c>
      <c r="H57" s="294">
        <f t="shared" si="29"/>
        <v>4419.3548387096771</v>
      </c>
      <c r="I57" s="294">
        <f t="shared" si="30"/>
        <v>1966.6666666666667</v>
      </c>
      <c r="J57" s="294">
        <f t="shared" si="31"/>
        <v>3709.6774193548385</v>
      </c>
      <c r="K57" s="294">
        <f t="shared" si="31"/>
        <v>8000</v>
      </c>
      <c r="L57" s="294">
        <f t="shared" si="32"/>
        <v>9133.3333333333339</v>
      </c>
      <c r="M57" s="294">
        <f t="shared" si="33"/>
        <v>6354.8387096774195</v>
      </c>
      <c r="N57" s="294">
        <f t="shared" si="34"/>
        <v>3400</v>
      </c>
      <c r="O57" s="294">
        <f t="shared" si="24"/>
        <v>2870.9677419354839</v>
      </c>
      <c r="P57" s="295"/>
    </row>
    <row r="58" spans="1:16" s="18" customFormat="1">
      <c r="A58" s="291"/>
      <c r="B58" s="296">
        <v>5366050936</v>
      </c>
      <c r="C58" s="293" t="s">
        <v>51</v>
      </c>
      <c r="D58" s="294">
        <f t="shared" si="25"/>
        <v>354.83870967741933</v>
      </c>
      <c r="E58" s="294">
        <f t="shared" si="26"/>
        <v>1214.2857142857142</v>
      </c>
      <c r="F58" s="294">
        <f t="shared" si="27"/>
        <v>1225.8064516129032</v>
      </c>
      <c r="G58" s="294">
        <f t="shared" si="28"/>
        <v>1233.3333333333333</v>
      </c>
      <c r="H58" s="294">
        <f t="shared" si="29"/>
        <v>1129.0322580645161</v>
      </c>
      <c r="I58" s="294">
        <f t="shared" si="30"/>
        <v>300</v>
      </c>
      <c r="J58" s="294">
        <f t="shared" si="31"/>
        <v>322.58064516129031</v>
      </c>
      <c r="K58" s="294">
        <f t="shared" si="31"/>
        <v>32.258064516129032</v>
      </c>
      <c r="L58" s="294">
        <f t="shared" si="32"/>
        <v>600</v>
      </c>
      <c r="M58" s="294">
        <f t="shared" si="33"/>
        <v>870.9677419354839</v>
      </c>
      <c r="N58" s="294">
        <f t="shared" si="34"/>
        <v>933.33333333333337</v>
      </c>
      <c r="O58" s="294">
        <f t="shared" si="24"/>
        <v>774.19354838709683</v>
      </c>
    </row>
    <row r="59" spans="1:16" s="18" customFormat="1">
      <c r="A59" s="295"/>
      <c r="B59" s="296">
        <v>2052150585</v>
      </c>
      <c r="C59" s="293" t="s">
        <v>52</v>
      </c>
      <c r="D59" s="294">
        <f t="shared" si="25"/>
        <v>12064.516129032258</v>
      </c>
      <c r="E59" s="294">
        <f t="shared" si="26"/>
        <v>19785.714285714286</v>
      </c>
      <c r="F59" s="294">
        <f t="shared" si="27"/>
        <v>16419.354838709678</v>
      </c>
      <c r="G59" s="294">
        <f t="shared" si="28"/>
        <v>16800</v>
      </c>
      <c r="H59" s="294">
        <f t="shared" si="29"/>
        <v>11612.903225806451</v>
      </c>
      <c r="I59" s="294">
        <f t="shared" si="30"/>
        <v>6233.333333333333</v>
      </c>
      <c r="J59" s="294">
        <f t="shared" si="31"/>
        <v>8064.5161290322585</v>
      </c>
      <c r="K59" s="294">
        <f t="shared" si="31"/>
        <v>10870.967741935483</v>
      </c>
      <c r="L59" s="294">
        <f t="shared" si="32"/>
        <v>14033.333333333334</v>
      </c>
      <c r="M59" s="294">
        <f t="shared" si="33"/>
        <v>14580.645161290322</v>
      </c>
      <c r="N59" s="294">
        <f t="shared" si="34"/>
        <v>8000</v>
      </c>
      <c r="O59" s="294">
        <f t="shared" si="24"/>
        <v>7032.2580645161288</v>
      </c>
    </row>
    <row r="60" spans="1:16" s="18" customFormat="1">
      <c r="A60" s="291"/>
      <c r="B60" s="296">
        <v>8635150066</v>
      </c>
      <c r="C60" s="293" t="s">
        <v>53</v>
      </c>
      <c r="D60" s="294">
        <f t="shared" si="25"/>
        <v>32.258064516129032</v>
      </c>
      <c r="E60" s="294">
        <f t="shared" si="26"/>
        <v>214.28571428571428</v>
      </c>
      <c r="F60" s="294">
        <f t="shared" si="27"/>
        <v>193.54838709677421</v>
      </c>
      <c r="G60" s="294">
        <f t="shared" si="28"/>
        <v>166.66666666666666</v>
      </c>
      <c r="H60" s="294">
        <f t="shared" si="29"/>
        <v>129.03225806451613</v>
      </c>
      <c r="I60" s="294">
        <f t="shared" si="30"/>
        <v>100</v>
      </c>
      <c r="J60" s="294">
        <f t="shared" si="31"/>
        <v>96.774193548387103</v>
      </c>
      <c r="K60" s="294">
        <f t="shared" si="31"/>
        <v>96.774193548387103</v>
      </c>
      <c r="L60" s="294">
        <f t="shared" si="32"/>
        <v>133.33333333333334</v>
      </c>
      <c r="M60" s="294">
        <f t="shared" si="33"/>
        <v>161.29032258064515</v>
      </c>
      <c r="N60" s="294">
        <f t="shared" si="34"/>
        <v>133.33333333333334</v>
      </c>
      <c r="O60" s="294">
        <f t="shared" si="24"/>
        <v>96.774193548387103</v>
      </c>
    </row>
    <row r="61" spans="1:16" s="18" customFormat="1">
      <c r="A61" s="291"/>
      <c r="B61" s="297">
        <v>6663150208</v>
      </c>
      <c r="C61" s="293" t="s">
        <v>54</v>
      </c>
      <c r="D61" s="294">
        <f t="shared" si="25"/>
        <v>645.16129032258061</v>
      </c>
      <c r="E61" s="294">
        <f t="shared" si="26"/>
        <v>1678.5714285714287</v>
      </c>
      <c r="F61" s="294">
        <f t="shared" si="27"/>
        <v>1161.2903225806451</v>
      </c>
      <c r="G61" s="294">
        <f t="shared" si="28"/>
        <v>1333.3333333333333</v>
      </c>
      <c r="H61" s="294">
        <f t="shared" si="29"/>
        <v>1290.3225806451612</v>
      </c>
      <c r="I61" s="294">
        <f t="shared" si="30"/>
        <v>700</v>
      </c>
      <c r="J61" s="294">
        <f t="shared" si="31"/>
        <v>612.90322580645159</v>
      </c>
      <c r="K61" s="294">
        <f t="shared" si="31"/>
        <v>580.64516129032256</v>
      </c>
      <c r="L61" s="294">
        <f t="shared" si="32"/>
        <v>700</v>
      </c>
      <c r="M61" s="294">
        <f t="shared" si="33"/>
        <v>1129.0322580645161</v>
      </c>
      <c r="N61" s="294">
        <f t="shared" si="34"/>
        <v>1300</v>
      </c>
      <c r="O61" s="294">
        <f t="shared" si="24"/>
        <v>1096.7741935483871</v>
      </c>
    </row>
    <row r="62" spans="1:16" s="18" customFormat="1">
      <c r="A62" s="291"/>
      <c r="B62" s="296">
        <v>6068150813</v>
      </c>
      <c r="C62" s="293" t="s">
        <v>55</v>
      </c>
      <c r="D62" s="294">
        <f t="shared" si="25"/>
        <v>193.54838709677421</v>
      </c>
      <c r="E62" s="294">
        <f t="shared" si="26"/>
        <v>1000</v>
      </c>
      <c r="F62" s="294">
        <f t="shared" si="27"/>
        <v>774.19354838709683</v>
      </c>
      <c r="G62" s="294">
        <f t="shared" si="28"/>
        <v>966.66666666666663</v>
      </c>
      <c r="H62" s="294">
        <f t="shared" si="29"/>
        <v>2322.5806451612902</v>
      </c>
      <c r="I62" s="294">
        <f t="shared" si="30"/>
        <v>4833.333333333333</v>
      </c>
      <c r="J62" s="294">
        <f t="shared" si="31"/>
        <v>5903.2258064516127</v>
      </c>
      <c r="K62" s="294">
        <f t="shared" si="31"/>
        <v>7354.8387096774195</v>
      </c>
      <c r="L62" s="294">
        <f t="shared" si="32"/>
        <v>6266.666666666667</v>
      </c>
      <c r="M62" s="294">
        <f t="shared" si="33"/>
        <v>5612.9032258064517</v>
      </c>
      <c r="N62" s="294">
        <f t="shared" si="34"/>
        <v>1866.6666666666667</v>
      </c>
      <c r="O62" s="294">
        <f t="shared" si="24"/>
        <v>741.93548387096769</v>
      </c>
    </row>
    <row r="63" spans="1:16" s="18" customFormat="1">
      <c r="A63" s="291"/>
      <c r="B63" s="297">
        <v>5068150812</v>
      </c>
      <c r="C63" s="293" t="s">
        <v>56</v>
      </c>
      <c r="D63" s="294">
        <f t="shared" si="25"/>
        <v>225.80645161290323</v>
      </c>
      <c r="E63" s="294">
        <f t="shared" si="26"/>
        <v>642.85714285714289</v>
      </c>
      <c r="F63" s="294">
        <f t="shared" si="27"/>
        <v>516.12903225806451</v>
      </c>
      <c r="G63" s="294">
        <f t="shared" si="28"/>
        <v>733.33333333333337</v>
      </c>
      <c r="H63" s="294">
        <f t="shared" si="29"/>
        <v>451.61290322580646</v>
      </c>
      <c r="I63" s="294">
        <f t="shared" si="30"/>
        <v>300</v>
      </c>
      <c r="J63" s="294">
        <f t="shared" si="31"/>
        <v>290.32258064516128</v>
      </c>
      <c r="K63" s="294">
        <f t="shared" si="31"/>
        <v>1000</v>
      </c>
      <c r="L63" s="294">
        <f t="shared" si="32"/>
        <v>1000</v>
      </c>
      <c r="M63" s="294">
        <f t="shared" si="33"/>
        <v>903.22580645161293</v>
      </c>
      <c r="N63" s="294">
        <f t="shared" si="34"/>
        <v>633.33333333333337</v>
      </c>
      <c r="O63" s="294">
        <f t="shared" si="24"/>
        <v>419.35483870967744</v>
      </c>
    </row>
    <row r="64" spans="1:16" s="18" customFormat="1">
      <c r="A64" s="291"/>
      <c r="B64" s="297">
        <v>2364150700</v>
      </c>
      <c r="C64" s="293" t="s">
        <v>57</v>
      </c>
      <c r="D64" s="294">
        <f t="shared" si="25"/>
        <v>1387.0967741935483</v>
      </c>
      <c r="E64" s="294">
        <f t="shared" si="26"/>
        <v>2750</v>
      </c>
      <c r="F64" s="294">
        <f t="shared" si="27"/>
        <v>1677.4193548387098</v>
      </c>
      <c r="G64" s="294">
        <f t="shared" si="28"/>
        <v>1566.6666666666667</v>
      </c>
      <c r="H64" s="294">
        <f t="shared" si="29"/>
        <v>1709.6774193548388</v>
      </c>
      <c r="I64" s="294">
        <f t="shared" si="30"/>
        <v>1200</v>
      </c>
      <c r="J64" s="294">
        <f t="shared" si="31"/>
        <v>1064.516129032258</v>
      </c>
      <c r="K64" s="294">
        <f t="shared" si="31"/>
        <v>1516.1290322580646</v>
      </c>
      <c r="L64" s="294">
        <f t="shared" si="32"/>
        <v>1900</v>
      </c>
      <c r="M64" s="294">
        <f t="shared" si="33"/>
        <v>2354.8387096774195</v>
      </c>
      <c r="N64" s="294">
        <f t="shared" si="34"/>
        <v>1800</v>
      </c>
      <c r="O64" s="294">
        <f t="shared" si="24"/>
        <v>1645.1612903225807</v>
      </c>
    </row>
    <row r="65" spans="1:16" s="18" customFormat="1">
      <c r="A65" s="291"/>
      <c r="B65" s="297">
        <v>1364150699</v>
      </c>
      <c r="C65" s="293" t="s">
        <v>58</v>
      </c>
      <c r="D65" s="294">
        <f t="shared" si="25"/>
        <v>967.74193548387098</v>
      </c>
      <c r="E65" s="294">
        <f t="shared" si="26"/>
        <v>4178.5714285714284</v>
      </c>
      <c r="F65" s="294">
        <f t="shared" si="27"/>
        <v>3322.5806451612902</v>
      </c>
      <c r="G65" s="294">
        <f t="shared" si="28"/>
        <v>4166.666666666667</v>
      </c>
      <c r="H65" s="294">
        <f t="shared" si="29"/>
        <v>3645.1612903225805</v>
      </c>
      <c r="I65" s="294">
        <f t="shared" si="30"/>
        <v>2833.3333333333335</v>
      </c>
      <c r="J65" s="294">
        <f t="shared" si="31"/>
        <v>3806.4516129032259</v>
      </c>
      <c r="K65" s="294">
        <f t="shared" si="31"/>
        <v>4612.9032258064517</v>
      </c>
      <c r="L65" s="294">
        <f t="shared" si="32"/>
        <v>5266.666666666667</v>
      </c>
      <c r="M65" s="294">
        <f t="shared" si="33"/>
        <v>5935.4838709677415</v>
      </c>
      <c r="N65" s="294">
        <f t="shared" si="34"/>
        <v>4100</v>
      </c>
      <c r="O65" s="294">
        <f t="shared" si="24"/>
        <v>3258.0645161290322</v>
      </c>
    </row>
    <row r="66" spans="1:16" s="18" customFormat="1">
      <c r="A66" s="291"/>
      <c r="B66" s="296">
        <v>2068150809</v>
      </c>
      <c r="C66" s="293" t="s">
        <v>59</v>
      </c>
      <c r="D66" s="294">
        <f t="shared" si="25"/>
        <v>0</v>
      </c>
      <c r="E66" s="294">
        <f t="shared" si="26"/>
        <v>71.428571428571431</v>
      </c>
      <c r="F66" s="294">
        <f t="shared" si="27"/>
        <v>32.258064516129032</v>
      </c>
      <c r="G66" s="294">
        <f t="shared" si="28"/>
        <v>33.333333333333336</v>
      </c>
      <c r="H66" s="294">
        <f t="shared" si="29"/>
        <v>32.258064516129032</v>
      </c>
      <c r="I66" s="294">
        <f t="shared" si="30"/>
        <v>33.333333333333336</v>
      </c>
      <c r="J66" s="294">
        <f t="shared" si="31"/>
        <v>32.258064516129032</v>
      </c>
      <c r="K66" s="294">
        <f t="shared" si="31"/>
        <v>32.258064516129032</v>
      </c>
      <c r="L66" s="294">
        <f t="shared" si="32"/>
        <v>33.333333333333336</v>
      </c>
      <c r="M66" s="294">
        <f t="shared" si="33"/>
        <v>64.516129032258064</v>
      </c>
      <c r="N66" s="294">
        <f t="shared" si="34"/>
        <v>33.333333333333336</v>
      </c>
      <c r="O66" s="294">
        <f t="shared" si="24"/>
        <v>32.258064516129032</v>
      </c>
    </row>
    <row r="67" spans="1:16" s="18" customFormat="1">
      <c r="A67" s="291"/>
      <c r="B67" s="296">
        <v>5756250297</v>
      </c>
      <c r="C67" s="293" t="s">
        <v>60</v>
      </c>
      <c r="D67" s="294">
        <f t="shared" si="25"/>
        <v>193.54838709677421</v>
      </c>
      <c r="E67" s="294">
        <f t="shared" si="26"/>
        <v>321.42857142857144</v>
      </c>
      <c r="F67" s="294">
        <f t="shared" si="27"/>
        <v>483.87096774193549</v>
      </c>
      <c r="G67" s="294">
        <f t="shared" si="28"/>
        <v>600</v>
      </c>
      <c r="H67" s="294">
        <f t="shared" si="29"/>
        <v>709.67741935483866</v>
      </c>
      <c r="I67" s="294">
        <f t="shared" si="30"/>
        <v>600</v>
      </c>
      <c r="J67" s="294">
        <f t="shared" si="31"/>
        <v>677.41935483870964</v>
      </c>
      <c r="K67" s="294">
        <f t="shared" si="31"/>
        <v>612.90322580645159</v>
      </c>
      <c r="L67" s="294">
        <f t="shared" si="32"/>
        <v>766.66666666666663</v>
      </c>
      <c r="M67" s="294">
        <f t="shared" si="33"/>
        <v>838.70967741935488</v>
      </c>
      <c r="N67" s="294">
        <f t="shared" si="34"/>
        <v>1100</v>
      </c>
      <c r="O67" s="294">
        <f t="shared" si="24"/>
        <v>483.87096774193549</v>
      </c>
    </row>
    <row r="68" spans="1:16" s="18" customFormat="1">
      <c r="A68" s="291"/>
      <c r="B68" s="297">
        <v>3054467971</v>
      </c>
      <c r="C68" s="293" t="s">
        <v>62</v>
      </c>
      <c r="D68" s="294">
        <f t="shared" si="25"/>
        <v>709.67741935483866</v>
      </c>
      <c r="E68" s="294">
        <f t="shared" si="26"/>
        <v>1392.8571428571429</v>
      </c>
      <c r="F68" s="294">
        <f t="shared" si="27"/>
        <v>1225.8064516129032</v>
      </c>
      <c r="G68" s="294">
        <f t="shared" si="28"/>
        <v>1433.3333333333333</v>
      </c>
      <c r="H68" s="294">
        <f t="shared" si="29"/>
        <v>1322.5806451612902</v>
      </c>
      <c r="I68" s="294">
        <f t="shared" si="30"/>
        <v>966.66666666666663</v>
      </c>
      <c r="J68" s="294">
        <f t="shared" si="31"/>
        <v>1064.516129032258</v>
      </c>
      <c r="K68" s="294">
        <f t="shared" si="31"/>
        <v>935.48387096774195</v>
      </c>
      <c r="L68" s="294">
        <f t="shared" si="32"/>
        <v>1066.6666666666667</v>
      </c>
      <c r="M68" s="294">
        <f t="shared" si="33"/>
        <v>1322.5806451612902</v>
      </c>
      <c r="N68" s="294">
        <f t="shared" si="34"/>
        <v>1300</v>
      </c>
      <c r="O68" s="294">
        <f t="shared" si="24"/>
        <v>1064.516129032258</v>
      </c>
    </row>
    <row r="69" spans="1:16" s="57" customFormat="1">
      <c r="A69" s="92"/>
      <c r="B69" s="92"/>
      <c r="C69" s="92"/>
      <c r="D69" s="102">
        <f>SUM(D52:D68)</f>
        <v>32032.258064516122</v>
      </c>
      <c r="E69" s="205">
        <f t="shared" ref="E69:O69" si="35">SUM(E52:E68)</f>
        <v>54000.000000000007</v>
      </c>
      <c r="F69" s="205">
        <f t="shared" si="35"/>
        <v>45322.580645161288</v>
      </c>
      <c r="G69" s="205">
        <f t="shared" si="35"/>
        <v>48433.333333333328</v>
      </c>
      <c r="H69" s="205">
        <f t="shared" si="35"/>
        <v>42548.387096774197</v>
      </c>
      <c r="I69" s="205">
        <f t="shared" si="35"/>
        <v>29266.666666666664</v>
      </c>
      <c r="J69" s="205">
        <f t="shared" si="35"/>
        <v>30193.548387096773</v>
      </c>
      <c r="K69" s="205">
        <f t="shared" si="35"/>
        <v>40967.741935483878</v>
      </c>
      <c r="L69" s="205">
        <f t="shared" si="35"/>
        <v>52500</v>
      </c>
      <c r="M69" s="205">
        <f t="shared" si="35"/>
        <v>53580.645161290318</v>
      </c>
      <c r="N69" s="205">
        <f t="shared" si="35"/>
        <v>37100</v>
      </c>
      <c r="O69" s="205">
        <f t="shared" si="35"/>
        <v>28032.258064516125</v>
      </c>
    </row>
    <row r="70" spans="1:16" s="57" customFormat="1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6" s="57" customFormat="1">
      <c r="A71" s="79"/>
      <c r="B71" s="79"/>
      <c r="C71" s="79"/>
      <c r="D71" s="79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9"/>
    </row>
    <row r="72" spans="1:16" s="57" customFormat="1">
      <c r="A72" s="123" t="s">
        <v>72</v>
      </c>
      <c r="B72" s="115">
        <v>2020</v>
      </c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1:16" s="57" customFormat="1" ht="15.75" thickBot="1">
      <c r="A73" s="116" t="s">
        <v>30</v>
      </c>
      <c r="B73" s="117" t="s">
        <v>31</v>
      </c>
      <c r="C73" s="117" t="s">
        <v>32</v>
      </c>
      <c r="D73" s="117" t="s">
        <v>33</v>
      </c>
      <c r="E73" s="117" t="s">
        <v>34</v>
      </c>
      <c r="F73" s="117" t="s">
        <v>35</v>
      </c>
      <c r="G73" s="117" t="s">
        <v>36</v>
      </c>
      <c r="H73" s="117" t="s">
        <v>37</v>
      </c>
      <c r="I73" s="117" t="s">
        <v>38</v>
      </c>
      <c r="J73" s="117" t="s">
        <v>39</v>
      </c>
      <c r="K73" s="117" t="s">
        <v>40</v>
      </c>
      <c r="L73" s="117" t="s">
        <v>41</v>
      </c>
      <c r="M73" s="117" t="s">
        <v>42</v>
      </c>
      <c r="N73" s="117" t="s">
        <v>43</v>
      </c>
      <c r="O73" s="117" t="s">
        <v>44</v>
      </c>
      <c r="P73" s="118" t="s">
        <v>100</v>
      </c>
    </row>
    <row r="74" spans="1:16" s="57" customFormat="1">
      <c r="A74" s="114"/>
      <c r="B74" s="119">
        <v>7534810685</v>
      </c>
      <c r="C74" s="139" t="s">
        <v>45</v>
      </c>
      <c r="D74" s="122">
        <v>10</v>
      </c>
      <c r="E74" s="122">
        <v>15</v>
      </c>
      <c r="F74" s="122">
        <v>15</v>
      </c>
      <c r="G74" s="122">
        <v>16</v>
      </c>
      <c r="H74" s="122">
        <v>18</v>
      </c>
      <c r="I74" s="122">
        <v>14</v>
      </c>
      <c r="J74" s="122">
        <v>12</v>
      </c>
      <c r="K74" s="122">
        <v>12</v>
      </c>
      <c r="L74" s="122">
        <v>13</v>
      </c>
      <c r="M74" s="122">
        <v>12</v>
      </c>
      <c r="N74" s="122">
        <v>13</v>
      </c>
      <c r="O74" s="122">
        <v>13</v>
      </c>
      <c r="P74" s="137">
        <f>SUM(D74:O74)</f>
        <v>163</v>
      </c>
    </row>
    <row r="75" spans="1:16" s="57" customFormat="1">
      <c r="A75" s="114"/>
      <c r="B75" s="119">
        <v>4366050935</v>
      </c>
      <c r="C75" s="139" t="s">
        <v>46</v>
      </c>
      <c r="D75" s="122">
        <v>3</v>
      </c>
      <c r="E75" s="122">
        <v>22</v>
      </c>
      <c r="F75" s="122">
        <v>19</v>
      </c>
      <c r="G75" s="122">
        <v>13</v>
      </c>
      <c r="H75" s="122">
        <v>8</v>
      </c>
      <c r="I75" s="122">
        <v>1</v>
      </c>
      <c r="J75" s="122">
        <v>0</v>
      </c>
      <c r="K75" s="122">
        <v>0</v>
      </c>
      <c r="L75" s="122">
        <v>26</v>
      </c>
      <c r="M75" s="122">
        <v>20</v>
      </c>
      <c r="N75" s="122">
        <v>25</v>
      </c>
      <c r="O75" s="122">
        <v>13</v>
      </c>
      <c r="P75" s="137">
        <f t="shared" ref="P75:P92" si="36">SUM(D75:O75)</f>
        <v>150</v>
      </c>
    </row>
    <row r="76" spans="1:16" s="57" customFormat="1">
      <c r="A76" s="114"/>
      <c r="B76" s="119">
        <v>6366050937</v>
      </c>
      <c r="C76" s="139" t="s">
        <v>47</v>
      </c>
      <c r="D76" s="122">
        <v>5</v>
      </c>
      <c r="E76" s="122">
        <v>37</v>
      </c>
      <c r="F76" s="122">
        <v>27</v>
      </c>
      <c r="G76" s="122">
        <v>22</v>
      </c>
      <c r="H76" s="122">
        <v>12</v>
      </c>
      <c r="I76" s="122">
        <v>7</v>
      </c>
      <c r="J76" s="122">
        <v>8</v>
      </c>
      <c r="K76" s="122">
        <v>7</v>
      </c>
      <c r="L76" s="122">
        <v>26</v>
      </c>
      <c r="M76" s="122">
        <v>27</v>
      </c>
      <c r="N76" s="122">
        <v>35</v>
      </c>
      <c r="O76" s="122">
        <v>20</v>
      </c>
      <c r="P76" s="137">
        <f t="shared" si="36"/>
        <v>233</v>
      </c>
    </row>
    <row r="77" spans="1:16" s="57" customFormat="1">
      <c r="A77" s="114"/>
      <c r="B77" s="119">
        <v>7366050938</v>
      </c>
      <c r="C77" s="139" t="s">
        <v>48</v>
      </c>
      <c r="D77" s="122">
        <v>24</v>
      </c>
      <c r="E77" s="122">
        <v>46</v>
      </c>
      <c r="F77" s="122">
        <v>42</v>
      </c>
      <c r="G77" s="122">
        <v>15</v>
      </c>
      <c r="H77" s="122">
        <v>4</v>
      </c>
      <c r="I77" s="122">
        <v>10</v>
      </c>
      <c r="J77" s="122">
        <v>29</v>
      </c>
      <c r="K77" s="122">
        <v>42</v>
      </c>
      <c r="L77" s="122">
        <v>46</v>
      </c>
      <c r="M77" s="122">
        <v>33</v>
      </c>
      <c r="N77" s="122">
        <v>18</v>
      </c>
      <c r="O77" s="122">
        <v>12</v>
      </c>
      <c r="P77" s="137">
        <f t="shared" si="36"/>
        <v>321</v>
      </c>
    </row>
    <row r="78" spans="1:16" s="57" customFormat="1">
      <c r="A78" s="114"/>
      <c r="B78" s="119">
        <v>3366050934</v>
      </c>
      <c r="C78" s="139" t="s">
        <v>49</v>
      </c>
      <c r="D78" s="122">
        <v>28</v>
      </c>
      <c r="E78" s="122">
        <v>178</v>
      </c>
      <c r="F78" s="122">
        <v>159</v>
      </c>
      <c r="G78" s="122">
        <v>93</v>
      </c>
      <c r="H78" s="122">
        <v>48</v>
      </c>
      <c r="I78" s="122">
        <v>13</v>
      </c>
      <c r="J78" s="122">
        <v>10</v>
      </c>
      <c r="K78" s="122">
        <v>20</v>
      </c>
      <c r="L78" s="122">
        <v>137</v>
      </c>
      <c r="M78" s="122">
        <v>130</v>
      </c>
      <c r="N78" s="122">
        <v>140</v>
      </c>
      <c r="O78" s="122">
        <v>98</v>
      </c>
      <c r="P78" s="137">
        <f t="shared" si="36"/>
        <v>1054</v>
      </c>
    </row>
    <row r="79" spans="1:16" s="57" customFormat="1">
      <c r="A79" s="114"/>
      <c r="B79" s="119">
        <v>5581150299</v>
      </c>
      <c r="C79" s="139" t="s">
        <v>50</v>
      </c>
      <c r="D79" s="122">
        <v>20</v>
      </c>
      <c r="E79" s="122">
        <v>89</v>
      </c>
      <c r="F79" s="122">
        <v>75</v>
      </c>
      <c r="G79" s="122">
        <v>51</v>
      </c>
      <c r="H79" s="122">
        <v>115</v>
      </c>
      <c r="I79" s="122">
        <v>175</v>
      </c>
      <c r="J79" s="122">
        <v>11</v>
      </c>
      <c r="K79" s="122">
        <v>30</v>
      </c>
      <c r="L79" s="122">
        <v>188</v>
      </c>
      <c r="M79" s="122">
        <v>232</v>
      </c>
      <c r="N79" s="122">
        <v>225</v>
      </c>
      <c r="O79" s="122">
        <v>87</v>
      </c>
      <c r="P79" s="137">
        <f t="shared" si="36"/>
        <v>1298</v>
      </c>
    </row>
    <row r="80" spans="1:16" s="57" customFormat="1">
      <c r="A80" s="114"/>
      <c r="B80" s="119">
        <v>5366050936</v>
      </c>
      <c r="C80" s="139" t="s">
        <v>51</v>
      </c>
      <c r="D80" s="122">
        <v>7</v>
      </c>
      <c r="E80" s="122">
        <v>25</v>
      </c>
      <c r="F80" s="122">
        <v>20</v>
      </c>
      <c r="G80" s="122">
        <v>12</v>
      </c>
      <c r="H80" s="122">
        <v>15</v>
      </c>
      <c r="I80" s="122">
        <v>8</v>
      </c>
      <c r="J80" s="122">
        <v>5</v>
      </c>
      <c r="K80" s="122">
        <v>2</v>
      </c>
      <c r="L80" s="122">
        <v>22</v>
      </c>
      <c r="M80" s="122">
        <v>26</v>
      </c>
      <c r="N80" s="122">
        <v>40</v>
      </c>
      <c r="O80" s="122">
        <v>12</v>
      </c>
      <c r="P80" s="137">
        <f t="shared" si="36"/>
        <v>194</v>
      </c>
    </row>
    <row r="81" spans="1:16" s="57" customFormat="1">
      <c r="A81" s="114"/>
      <c r="B81" s="119">
        <v>2052150585</v>
      </c>
      <c r="C81" s="139" t="s">
        <v>52</v>
      </c>
      <c r="D81" s="122">
        <v>53</v>
      </c>
      <c r="E81" s="122">
        <v>245</v>
      </c>
      <c r="F81" s="122">
        <v>190</v>
      </c>
      <c r="G81" s="122">
        <v>115</v>
      </c>
      <c r="H81" s="122">
        <v>188</v>
      </c>
      <c r="I81" s="122">
        <v>227</v>
      </c>
      <c r="J81" s="122">
        <v>461</v>
      </c>
      <c r="K81" s="122">
        <v>347</v>
      </c>
      <c r="L81" s="122">
        <v>477</v>
      </c>
      <c r="M81" s="122">
        <v>374</v>
      </c>
      <c r="N81" s="122">
        <v>269</v>
      </c>
      <c r="O81" s="122">
        <v>97</v>
      </c>
      <c r="P81" s="137">
        <f t="shared" si="36"/>
        <v>3043</v>
      </c>
    </row>
    <row r="82" spans="1:16" s="57" customFormat="1">
      <c r="A82" s="114"/>
      <c r="B82" s="119">
        <v>8635150066</v>
      </c>
      <c r="C82" s="139" t="s">
        <v>53</v>
      </c>
      <c r="D82" s="122">
        <v>0</v>
      </c>
      <c r="E82" s="122">
        <v>9</v>
      </c>
      <c r="F82" s="122">
        <v>4</v>
      </c>
      <c r="G82" s="122">
        <v>1</v>
      </c>
      <c r="H82" s="122">
        <v>0</v>
      </c>
      <c r="I82" s="122">
        <v>0</v>
      </c>
      <c r="J82" s="122">
        <v>1</v>
      </c>
      <c r="K82" s="122">
        <v>1</v>
      </c>
      <c r="L82" s="122">
        <v>4</v>
      </c>
      <c r="M82" s="122">
        <v>5</v>
      </c>
      <c r="N82" s="122">
        <v>5</v>
      </c>
      <c r="O82" s="122">
        <v>4</v>
      </c>
      <c r="P82" s="137">
        <f t="shared" si="36"/>
        <v>34</v>
      </c>
    </row>
    <row r="83" spans="1:16" s="57" customFormat="1">
      <c r="A83" s="114"/>
      <c r="B83" s="120">
        <v>6663150208</v>
      </c>
      <c r="C83" s="139" t="s">
        <v>54</v>
      </c>
      <c r="D83" s="122">
        <v>16</v>
      </c>
      <c r="E83" s="122">
        <v>35</v>
      </c>
      <c r="F83" s="122">
        <v>31</v>
      </c>
      <c r="G83" s="122">
        <v>10</v>
      </c>
      <c r="H83" s="122">
        <v>3</v>
      </c>
      <c r="I83" s="122">
        <v>4</v>
      </c>
      <c r="J83" s="122">
        <v>9</v>
      </c>
      <c r="K83" s="122">
        <v>11</v>
      </c>
      <c r="L83" s="122">
        <v>16</v>
      </c>
      <c r="M83" s="122">
        <v>12</v>
      </c>
      <c r="N83" s="122">
        <v>13</v>
      </c>
      <c r="O83" s="122">
        <v>8</v>
      </c>
      <c r="P83" s="137">
        <f t="shared" si="36"/>
        <v>168</v>
      </c>
    </row>
    <row r="84" spans="1:16" s="57" customFormat="1">
      <c r="A84" s="114"/>
      <c r="B84" s="119">
        <v>6068150813</v>
      </c>
      <c r="C84" s="139" t="s">
        <v>55</v>
      </c>
      <c r="D84" s="122">
        <v>5</v>
      </c>
      <c r="E84" s="122">
        <v>30</v>
      </c>
      <c r="F84" s="122">
        <v>25</v>
      </c>
      <c r="G84" s="122">
        <v>7</v>
      </c>
      <c r="H84" s="122">
        <v>1</v>
      </c>
      <c r="I84" s="122">
        <v>3</v>
      </c>
      <c r="J84" s="122">
        <v>434</v>
      </c>
      <c r="K84" s="122">
        <v>220</v>
      </c>
      <c r="L84" s="122">
        <v>195</v>
      </c>
      <c r="M84" s="122">
        <v>115</v>
      </c>
      <c r="N84" s="122">
        <v>56</v>
      </c>
      <c r="O84" s="122">
        <v>3</v>
      </c>
      <c r="P84" s="137">
        <f t="shared" si="36"/>
        <v>1094</v>
      </c>
    </row>
    <row r="85" spans="1:16" s="57" customFormat="1">
      <c r="A85" s="114"/>
      <c r="B85" s="120">
        <v>5068150812</v>
      </c>
      <c r="C85" s="139" t="s">
        <v>56</v>
      </c>
      <c r="D85" s="122">
        <v>5</v>
      </c>
      <c r="E85" s="122">
        <v>17</v>
      </c>
      <c r="F85" s="122">
        <v>15</v>
      </c>
      <c r="G85" s="122">
        <v>4</v>
      </c>
      <c r="H85" s="122">
        <v>3</v>
      </c>
      <c r="I85" s="122">
        <v>4</v>
      </c>
      <c r="J85" s="122">
        <v>40</v>
      </c>
      <c r="K85" s="122">
        <v>16</v>
      </c>
      <c r="L85" s="122">
        <v>23</v>
      </c>
      <c r="M85" s="122">
        <v>21</v>
      </c>
      <c r="N85" s="122">
        <v>127</v>
      </c>
      <c r="O85" s="122">
        <v>3</v>
      </c>
      <c r="P85" s="137">
        <f t="shared" si="36"/>
        <v>278</v>
      </c>
    </row>
    <row r="86" spans="1:16" s="57" customFormat="1">
      <c r="A86" s="114"/>
      <c r="B86" s="120">
        <v>2364150700</v>
      </c>
      <c r="C86" s="139" t="s">
        <v>57</v>
      </c>
      <c r="D86" s="122">
        <v>32</v>
      </c>
      <c r="E86" s="122">
        <v>69</v>
      </c>
      <c r="F86" s="122">
        <v>78</v>
      </c>
      <c r="G86" s="122">
        <v>10</v>
      </c>
      <c r="H86" s="122">
        <v>8</v>
      </c>
      <c r="I86" s="122">
        <v>12</v>
      </c>
      <c r="J86" s="122">
        <v>16</v>
      </c>
      <c r="K86" s="122">
        <v>14</v>
      </c>
      <c r="L86" s="122">
        <v>17</v>
      </c>
      <c r="M86" s="122">
        <v>13</v>
      </c>
      <c r="N86" s="122">
        <v>36</v>
      </c>
      <c r="O86" s="122">
        <v>31</v>
      </c>
      <c r="P86" s="137">
        <f t="shared" si="36"/>
        <v>336</v>
      </c>
    </row>
    <row r="87" spans="1:16" s="57" customFormat="1">
      <c r="A87" s="114"/>
      <c r="B87" s="120">
        <v>1364150699</v>
      </c>
      <c r="C87" s="139" t="s">
        <v>58</v>
      </c>
      <c r="D87" s="122">
        <v>20</v>
      </c>
      <c r="E87" s="122">
        <v>119</v>
      </c>
      <c r="F87" s="122">
        <v>97</v>
      </c>
      <c r="G87" s="122">
        <v>36</v>
      </c>
      <c r="H87" s="122">
        <v>1</v>
      </c>
      <c r="I87" s="122">
        <v>6</v>
      </c>
      <c r="J87" s="122">
        <v>145</v>
      </c>
      <c r="K87" s="122">
        <v>107</v>
      </c>
      <c r="L87" s="122">
        <v>133</v>
      </c>
      <c r="M87" s="122">
        <v>95</v>
      </c>
      <c r="N87" s="122">
        <v>67</v>
      </c>
      <c r="O87" s="122">
        <v>15</v>
      </c>
      <c r="P87" s="137">
        <f t="shared" si="36"/>
        <v>841</v>
      </c>
    </row>
    <row r="88" spans="1:16" s="57" customFormat="1">
      <c r="A88" s="114"/>
      <c r="B88" s="119">
        <v>2068150809</v>
      </c>
      <c r="C88" s="139" t="s">
        <v>59</v>
      </c>
      <c r="D88" s="122">
        <v>0</v>
      </c>
      <c r="E88" s="122">
        <v>1</v>
      </c>
      <c r="F88" s="122">
        <v>1</v>
      </c>
      <c r="G88" s="122">
        <v>1</v>
      </c>
      <c r="H88" s="122">
        <v>0</v>
      </c>
      <c r="I88" s="122">
        <v>0</v>
      </c>
      <c r="J88" s="122">
        <v>0</v>
      </c>
      <c r="K88" s="122">
        <v>0</v>
      </c>
      <c r="L88" s="122">
        <v>1</v>
      </c>
      <c r="M88" s="122">
        <v>0</v>
      </c>
      <c r="N88" s="122">
        <v>1</v>
      </c>
      <c r="O88" s="122">
        <v>1</v>
      </c>
      <c r="P88" s="137">
        <f t="shared" si="36"/>
        <v>6</v>
      </c>
    </row>
    <row r="89" spans="1:16" s="57" customFormat="1">
      <c r="A89" s="114"/>
      <c r="B89" s="119">
        <v>5756250297</v>
      </c>
      <c r="C89" s="138" t="s">
        <v>60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120">
        <v>0</v>
      </c>
      <c r="J89" s="120">
        <v>0</v>
      </c>
      <c r="K89" s="120">
        <v>2343</v>
      </c>
      <c r="L89" s="120">
        <v>684</v>
      </c>
      <c r="M89" s="120">
        <v>415</v>
      </c>
      <c r="N89" s="120">
        <v>350</v>
      </c>
      <c r="O89" s="120">
        <v>179</v>
      </c>
      <c r="P89" s="137">
        <f t="shared" si="36"/>
        <v>3971</v>
      </c>
    </row>
    <row r="90" spans="1:16" s="57" customFormat="1">
      <c r="A90" s="114"/>
      <c r="B90" s="120">
        <v>1665911804</v>
      </c>
      <c r="C90" s="138" t="s">
        <v>61</v>
      </c>
      <c r="D90" s="122">
        <v>8</v>
      </c>
      <c r="E90" s="122">
        <v>17</v>
      </c>
      <c r="F90" s="122">
        <v>19</v>
      </c>
      <c r="G90" s="122">
        <v>2</v>
      </c>
      <c r="H90" s="122">
        <v>0</v>
      </c>
      <c r="I90" s="122">
        <v>5</v>
      </c>
      <c r="J90" s="122">
        <v>6</v>
      </c>
      <c r="K90" s="122">
        <v>3</v>
      </c>
      <c r="L90" s="122">
        <v>4</v>
      </c>
      <c r="M90" s="122">
        <v>11</v>
      </c>
      <c r="N90" s="122">
        <v>6</v>
      </c>
      <c r="O90" s="122">
        <v>7</v>
      </c>
      <c r="P90" s="137">
        <f t="shared" si="36"/>
        <v>88</v>
      </c>
    </row>
    <row r="91" spans="1:16" s="57" customFormat="1">
      <c r="A91" s="114"/>
      <c r="B91" s="120">
        <v>3054467971</v>
      </c>
      <c r="C91" s="138" t="s">
        <v>62</v>
      </c>
      <c r="D91" s="122">
        <v>19</v>
      </c>
      <c r="E91" s="122">
        <v>38</v>
      </c>
      <c r="F91" s="122">
        <v>36</v>
      </c>
      <c r="G91" s="122">
        <v>9</v>
      </c>
      <c r="H91" s="122">
        <v>2</v>
      </c>
      <c r="I91" s="122">
        <v>4</v>
      </c>
      <c r="J91" s="122">
        <v>12</v>
      </c>
      <c r="K91" s="122">
        <v>12</v>
      </c>
      <c r="L91" s="122">
        <v>15</v>
      </c>
      <c r="M91" s="122">
        <v>13</v>
      </c>
      <c r="N91" s="122">
        <v>17</v>
      </c>
      <c r="O91" s="122">
        <v>8</v>
      </c>
      <c r="P91" s="137">
        <f t="shared" si="36"/>
        <v>185</v>
      </c>
    </row>
    <row r="92" spans="1:16" s="57" customFormat="1">
      <c r="A92" s="114"/>
      <c r="B92" s="120">
        <v>3380811569</v>
      </c>
      <c r="C92" s="138" t="s">
        <v>63</v>
      </c>
      <c r="D92" s="120">
        <v>0</v>
      </c>
      <c r="E92" s="120">
        <v>0</v>
      </c>
      <c r="F92" s="120"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2">
        <v>0</v>
      </c>
      <c r="O92" s="122">
        <v>3</v>
      </c>
      <c r="P92" s="137">
        <f t="shared" si="36"/>
        <v>3</v>
      </c>
    </row>
    <row r="93" spans="1:16" s="57" customFormat="1">
      <c r="A93" s="114"/>
      <c r="B93" s="114"/>
      <c r="C93" s="114"/>
      <c r="D93" s="110">
        <f>SUM(D74:D92)</f>
        <v>255</v>
      </c>
      <c r="E93" s="110">
        <f t="shared" ref="E93:O93" si="37">SUM(E74:E92)</f>
        <v>992</v>
      </c>
      <c r="F93" s="110">
        <f t="shared" si="37"/>
        <v>853</v>
      </c>
      <c r="G93" s="110">
        <f t="shared" si="37"/>
        <v>417</v>
      </c>
      <c r="H93" s="110">
        <f t="shared" si="37"/>
        <v>426</v>
      </c>
      <c r="I93" s="110">
        <f t="shared" si="37"/>
        <v>493</v>
      </c>
      <c r="J93" s="110">
        <f t="shared" si="37"/>
        <v>1199</v>
      </c>
      <c r="K93" s="110">
        <f t="shared" si="37"/>
        <v>3187</v>
      </c>
      <c r="L93" s="110">
        <f t="shared" si="37"/>
        <v>2027</v>
      </c>
      <c r="M93" s="110">
        <f t="shared" si="37"/>
        <v>1554</v>
      </c>
      <c r="N93" s="110">
        <f t="shared" si="37"/>
        <v>1443</v>
      </c>
      <c r="O93" s="110">
        <f t="shared" si="37"/>
        <v>614</v>
      </c>
      <c r="P93" s="110">
        <f>SUM(P74:P92)</f>
        <v>13460</v>
      </c>
    </row>
    <row r="94" spans="1:16" s="57" customFormat="1"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1:16" s="57" customFormat="1">
      <c r="A95" s="114"/>
      <c r="B95" s="114"/>
      <c r="C95" s="121" t="s">
        <v>64</v>
      </c>
      <c r="D95" s="122">
        <f>D93*1000</f>
        <v>255000</v>
      </c>
      <c r="E95" s="122">
        <f t="shared" ref="E95:P95" si="38">E93*1000</f>
        <v>992000</v>
      </c>
      <c r="F95" s="122">
        <f t="shared" si="38"/>
        <v>853000</v>
      </c>
      <c r="G95" s="122">
        <f t="shared" si="38"/>
        <v>417000</v>
      </c>
      <c r="H95" s="122">
        <f t="shared" si="38"/>
        <v>426000</v>
      </c>
      <c r="I95" s="122">
        <f t="shared" si="38"/>
        <v>493000</v>
      </c>
      <c r="J95" s="122">
        <f t="shared" si="38"/>
        <v>1199000</v>
      </c>
      <c r="K95" s="122">
        <f t="shared" si="38"/>
        <v>3187000</v>
      </c>
      <c r="L95" s="122">
        <f t="shared" si="38"/>
        <v>2027000</v>
      </c>
      <c r="M95" s="122">
        <f t="shared" si="38"/>
        <v>1554000</v>
      </c>
      <c r="N95" s="122">
        <f t="shared" si="38"/>
        <v>1443000</v>
      </c>
      <c r="O95" s="122">
        <f t="shared" si="38"/>
        <v>614000</v>
      </c>
      <c r="P95" s="122">
        <f t="shared" si="38"/>
        <v>13460000</v>
      </c>
    </row>
    <row r="96" spans="1:16" s="57" customFormat="1"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6" s="57" customFormat="1"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16" s="57" customFormat="1">
      <c r="A98" s="136" t="s">
        <v>73</v>
      </c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</row>
    <row r="99" spans="1:16" s="57" customFormat="1" ht="15.75" thickBot="1">
      <c r="A99" s="126" t="s">
        <v>30</v>
      </c>
      <c r="B99" s="127" t="s">
        <v>31</v>
      </c>
      <c r="C99" s="128" t="s">
        <v>32</v>
      </c>
      <c r="D99" s="129" t="s">
        <v>33</v>
      </c>
      <c r="E99" s="130" t="s">
        <v>34</v>
      </c>
      <c r="F99" s="131" t="s">
        <v>35</v>
      </c>
      <c r="G99" s="131" t="s">
        <v>36</v>
      </c>
      <c r="H99" s="131" t="s">
        <v>37</v>
      </c>
      <c r="I99" s="131" t="s">
        <v>38</v>
      </c>
      <c r="J99" s="131" t="s">
        <v>39</v>
      </c>
      <c r="K99" s="131" t="s">
        <v>40</v>
      </c>
      <c r="L99" s="131" t="s">
        <v>41</v>
      </c>
      <c r="M99" s="131" t="s">
        <v>42</v>
      </c>
      <c r="N99" s="131" t="s">
        <v>43</v>
      </c>
      <c r="O99" s="131" t="s">
        <v>44</v>
      </c>
      <c r="P99" s="114"/>
    </row>
    <row r="100" spans="1:16" s="57" customFormat="1">
      <c r="A100" s="124"/>
      <c r="B100" s="132">
        <v>7534810685</v>
      </c>
      <c r="C100" s="135" t="s">
        <v>45</v>
      </c>
      <c r="D100" s="294">
        <f>(D74*1000)/31</f>
        <v>322.58064516129031</v>
      </c>
      <c r="E100" s="294">
        <f>(E74*1000)/28</f>
        <v>535.71428571428567</v>
      </c>
      <c r="F100" s="294">
        <f>(F74*1000)/31</f>
        <v>483.87096774193549</v>
      </c>
      <c r="G100" s="294">
        <f>(G74*1000)/30</f>
        <v>533.33333333333337</v>
      </c>
      <c r="H100" s="294">
        <f>(H74*1000)/31</f>
        <v>580.64516129032256</v>
      </c>
      <c r="I100" s="294">
        <f>(I74*1000)/30</f>
        <v>466.66666666666669</v>
      </c>
      <c r="J100" s="294">
        <f>(J74*1000)/31</f>
        <v>387.09677419354841</v>
      </c>
      <c r="K100" s="294">
        <f>(K74*1000)/31</f>
        <v>387.09677419354841</v>
      </c>
      <c r="L100" s="294">
        <f>(L74*1000)/30</f>
        <v>433.33333333333331</v>
      </c>
      <c r="M100" s="294">
        <f>(M74*1000)/31</f>
        <v>387.09677419354841</v>
      </c>
      <c r="N100" s="294">
        <f>(N74*1000)/30</f>
        <v>433.33333333333331</v>
      </c>
      <c r="O100" s="294">
        <f>(O74*1000)/31</f>
        <v>419.35483870967744</v>
      </c>
      <c r="P100" s="114"/>
    </row>
    <row r="101" spans="1:16" s="57" customFormat="1">
      <c r="A101" s="124"/>
      <c r="B101" s="132">
        <v>4366050935</v>
      </c>
      <c r="C101" s="135" t="s">
        <v>46</v>
      </c>
      <c r="D101" s="294">
        <f t="shared" ref="D101:D118" si="39">(D75*1000)/31</f>
        <v>96.774193548387103</v>
      </c>
      <c r="E101" s="294">
        <f t="shared" ref="E101:E118" si="40">(E75*1000)/28</f>
        <v>785.71428571428567</v>
      </c>
      <c r="F101" s="294">
        <f t="shared" ref="F101:F118" si="41">(F75*1000)/31</f>
        <v>612.90322580645159</v>
      </c>
      <c r="G101" s="294">
        <f t="shared" ref="G101:G118" si="42">(G75*1000)/30</f>
        <v>433.33333333333331</v>
      </c>
      <c r="H101" s="294">
        <f t="shared" ref="H101:H118" si="43">(H75*1000)/31</f>
        <v>258.06451612903226</v>
      </c>
      <c r="I101" s="294">
        <f t="shared" ref="I101:I118" si="44">(I75*1000)/30</f>
        <v>33.333333333333336</v>
      </c>
      <c r="J101" s="294">
        <f t="shared" ref="J101:K101" si="45">(J75*1000)/31</f>
        <v>0</v>
      </c>
      <c r="K101" s="294">
        <f t="shared" si="45"/>
        <v>0</v>
      </c>
      <c r="L101" s="294">
        <f t="shared" ref="L101:L118" si="46">(L75*1000)/30</f>
        <v>866.66666666666663</v>
      </c>
      <c r="M101" s="294">
        <f t="shared" ref="M101:M118" si="47">(M75*1000)/31</f>
        <v>645.16129032258061</v>
      </c>
      <c r="N101" s="294">
        <f t="shared" ref="N101:N118" si="48">(N75*1000)/30</f>
        <v>833.33333333333337</v>
      </c>
      <c r="O101" s="294">
        <f t="shared" ref="O101:O118" si="49">(O75*1000)/31</f>
        <v>419.35483870967744</v>
      </c>
      <c r="P101" s="114"/>
    </row>
    <row r="102" spans="1:16" s="57" customFormat="1">
      <c r="A102" s="124"/>
      <c r="B102" s="132">
        <v>6366050937</v>
      </c>
      <c r="C102" s="135" t="s">
        <v>47</v>
      </c>
      <c r="D102" s="294">
        <f t="shared" si="39"/>
        <v>161.29032258064515</v>
      </c>
      <c r="E102" s="294">
        <f t="shared" si="40"/>
        <v>1321.4285714285713</v>
      </c>
      <c r="F102" s="294">
        <f t="shared" si="41"/>
        <v>870.9677419354839</v>
      </c>
      <c r="G102" s="294">
        <f t="shared" si="42"/>
        <v>733.33333333333337</v>
      </c>
      <c r="H102" s="294">
        <f t="shared" si="43"/>
        <v>387.09677419354841</v>
      </c>
      <c r="I102" s="294">
        <f t="shared" si="44"/>
        <v>233.33333333333334</v>
      </c>
      <c r="J102" s="294">
        <f t="shared" ref="J102:K102" si="50">(J76*1000)/31</f>
        <v>258.06451612903226</v>
      </c>
      <c r="K102" s="294">
        <f t="shared" si="50"/>
        <v>225.80645161290323</v>
      </c>
      <c r="L102" s="294">
        <f t="shared" si="46"/>
        <v>866.66666666666663</v>
      </c>
      <c r="M102" s="294">
        <f t="shared" si="47"/>
        <v>870.9677419354839</v>
      </c>
      <c r="N102" s="294">
        <f t="shared" si="48"/>
        <v>1166.6666666666667</v>
      </c>
      <c r="O102" s="294">
        <f t="shared" si="49"/>
        <v>645.16129032258061</v>
      </c>
      <c r="P102" s="114"/>
    </row>
    <row r="103" spans="1:16" s="57" customFormat="1">
      <c r="A103" s="124"/>
      <c r="B103" s="132">
        <v>7366050938</v>
      </c>
      <c r="C103" s="135" t="s">
        <v>48</v>
      </c>
      <c r="D103" s="294">
        <f t="shared" si="39"/>
        <v>774.19354838709683</v>
      </c>
      <c r="E103" s="294">
        <f t="shared" si="40"/>
        <v>1642.8571428571429</v>
      </c>
      <c r="F103" s="294">
        <f t="shared" si="41"/>
        <v>1354.8387096774193</v>
      </c>
      <c r="G103" s="294">
        <f t="shared" si="42"/>
        <v>500</v>
      </c>
      <c r="H103" s="294">
        <f t="shared" si="43"/>
        <v>129.03225806451613</v>
      </c>
      <c r="I103" s="294">
        <f t="shared" si="44"/>
        <v>333.33333333333331</v>
      </c>
      <c r="J103" s="294">
        <f t="shared" ref="J103:K103" si="51">(J77*1000)/31</f>
        <v>935.48387096774195</v>
      </c>
      <c r="K103" s="294">
        <f t="shared" si="51"/>
        <v>1354.8387096774193</v>
      </c>
      <c r="L103" s="294">
        <f t="shared" si="46"/>
        <v>1533.3333333333333</v>
      </c>
      <c r="M103" s="294">
        <f t="shared" si="47"/>
        <v>1064.516129032258</v>
      </c>
      <c r="N103" s="294">
        <f t="shared" si="48"/>
        <v>600</v>
      </c>
      <c r="O103" s="294">
        <f t="shared" si="49"/>
        <v>387.09677419354841</v>
      </c>
      <c r="P103" s="114"/>
    </row>
    <row r="104" spans="1:16" s="57" customFormat="1">
      <c r="A104" s="124"/>
      <c r="B104" s="132">
        <v>3366050934</v>
      </c>
      <c r="C104" s="135" t="s">
        <v>49</v>
      </c>
      <c r="D104" s="294">
        <f t="shared" si="39"/>
        <v>903.22580645161293</v>
      </c>
      <c r="E104" s="294">
        <f t="shared" si="40"/>
        <v>6357.1428571428569</v>
      </c>
      <c r="F104" s="294">
        <f t="shared" si="41"/>
        <v>5129.0322580645161</v>
      </c>
      <c r="G104" s="294">
        <f t="shared" si="42"/>
        <v>3100</v>
      </c>
      <c r="H104" s="294">
        <f t="shared" si="43"/>
        <v>1548.3870967741937</v>
      </c>
      <c r="I104" s="294">
        <f t="shared" si="44"/>
        <v>433.33333333333331</v>
      </c>
      <c r="J104" s="294">
        <f t="shared" ref="J104:K104" si="52">(J78*1000)/31</f>
        <v>322.58064516129031</v>
      </c>
      <c r="K104" s="294">
        <f t="shared" si="52"/>
        <v>645.16129032258061</v>
      </c>
      <c r="L104" s="294">
        <f t="shared" si="46"/>
        <v>4566.666666666667</v>
      </c>
      <c r="M104" s="294">
        <f t="shared" si="47"/>
        <v>4193.5483870967746</v>
      </c>
      <c r="N104" s="294">
        <f t="shared" si="48"/>
        <v>4666.666666666667</v>
      </c>
      <c r="O104" s="294">
        <f t="shared" si="49"/>
        <v>3161.2903225806454</v>
      </c>
    </row>
    <row r="105" spans="1:16" s="57" customFormat="1">
      <c r="A105" s="124"/>
      <c r="B105" s="133">
        <v>5581150299</v>
      </c>
      <c r="C105" s="135" t="s">
        <v>50</v>
      </c>
      <c r="D105" s="294">
        <f t="shared" si="39"/>
        <v>645.16129032258061</v>
      </c>
      <c r="E105" s="294">
        <f t="shared" si="40"/>
        <v>3178.5714285714284</v>
      </c>
      <c r="F105" s="294">
        <f t="shared" si="41"/>
        <v>2419.3548387096776</v>
      </c>
      <c r="G105" s="294">
        <f t="shared" si="42"/>
        <v>1700</v>
      </c>
      <c r="H105" s="294">
        <f t="shared" si="43"/>
        <v>3709.6774193548385</v>
      </c>
      <c r="I105" s="294">
        <f t="shared" si="44"/>
        <v>5833.333333333333</v>
      </c>
      <c r="J105" s="294">
        <f t="shared" ref="J105:K105" si="53">(J79*1000)/31</f>
        <v>354.83870967741933</v>
      </c>
      <c r="K105" s="294">
        <f t="shared" si="53"/>
        <v>967.74193548387098</v>
      </c>
      <c r="L105" s="294">
        <f t="shared" si="46"/>
        <v>6266.666666666667</v>
      </c>
      <c r="M105" s="294">
        <f t="shared" si="47"/>
        <v>7483.8709677419356</v>
      </c>
      <c r="N105" s="294">
        <f t="shared" si="48"/>
        <v>7500</v>
      </c>
      <c r="O105" s="294">
        <f t="shared" si="49"/>
        <v>2806.4516129032259</v>
      </c>
    </row>
    <row r="106" spans="1:16" s="57" customFormat="1">
      <c r="A106" s="124"/>
      <c r="B106" s="133">
        <v>5366050936</v>
      </c>
      <c r="C106" s="135" t="s">
        <v>51</v>
      </c>
      <c r="D106" s="294">
        <f t="shared" si="39"/>
        <v>225.80645161290323</v>
      </c>
      <c r="E106" s="294">
        <f t="shared" si="40"/>
        <v>892.85714285714289</v>
      </c>
      <c r="F106" s="294">
        <f t="shared" si="41"/>
        <v>645.16129032258061</v>
      </c>
      <c r="G106" s="294">
        <f t="shared" si="42"/>
        <v>400</v>
      </c>
      <c r="H106" s="294">
        <f t="shared" si="43"/>
        <v>483.87096774193549</v>
      </c>
      <c r="I106" s="294">
        <f t="shared" si="44"/>
        <v>266.66666666666669</v>
      </c>
      <c r="J106" s="294">
        <f t="shared" ref="J106:K106" si="54">(J80*1000)/31</f>
        <v>161.29032258064515</v>
      </c>
      <c r="K106" s="294">
        <f t="shared" si="54"/>
        <v>64.516129032258064</v>
      </c>
      <c r="L106" s="294">
        <f t="shared" si="46"/>
        <v>733.33333333333337</v>
      </c>
      <c r="M106" s="294">
        <f t="shared" si="47"/>
        <v>838.70967741935488</v>
      </c>
      <c r="N106" s="294">
        <f t="shared" si="48"/>
        <v>1333.3333333333333</v>
      </c>
      <c r="O106" s="294">
        <f t="shared" si="49"/>
        <v>387.09677419354841</v>
      </c>
    </row>
    <row r="107" spans="1:16" s="57" customFormat="1">
      <c r="A107" s="114"/>
      <c r="B107" s="133">
        <v>2052150585</v>
      </c>
      <c r="C107" s="135" t="s">
        <v>52</v>
      </c>
      <c r="D107" s="294">
        <f t="shared" si="39"/>
        <v>1709.6774193548388</v>
      </c>
      <c r="E107" s="294">
        <f t="shared" si="40"/>
        <v>8750</v>
      </c>
      <c r="F107" s="294">
        <f t="shared" si="41"/>
        <v>6129.0322580645161</v>
      </c>
      <c r="G107" s="294">
        <f t="shared" si="42"/>
        <v>3833.3333333333335</v>
      </c>
      <c r="H107" s="294">
        <f t="shared" si="43"/>
        <v>6064.5161290322585</v>
      </c>
      <c r="I107" s="294">
        <f t="shared" si="44"/>
        <v>7566.666666666667</v>
      </c>
      <c r="J107" s="294">
        <f t="shared" ref="J107:K107" si="55">(J81*1000)/31</f>
        <v>14870.967741935483</v>
      </c>
      <c r="K107" s="294">
        <f t="shared" si="55"/>
        <v>11193.548387096775</v>
      </c>
      <c r="L107" s="294">
        <f t="shared" si="46"/>
        <v>15900</v>
      </c>
      <c r="M107" s="294">
        <f t="shared" si="47"/>
        <v>12064.516129032258</v>
      </c>
      <c r="N107" s="294">
        <f t="shared" si="48"/>
        <v>8966.6666666666661</v>
      </c>
      <c r="O107" s="294">
        <f t="shared" si="49"/>
        <v>3129.0322580645161</v>
      </c>
    </row>
    <row r="108" spans="1:16" s="57" customFormat="1">
      <c r="A108" s="124"/>
      <c r="B108" s="133">
        <v>8635150066</v>
      </c>
      <c r="C108" s="135" t="s">
        <v>53</v>
      </c>
      <c r="D108" s="294">
        <f t="shared" si="39"/>
        <v>0</v>
      </c>
      <c r="E108" s="294">
        <f t="shared" si="40"/>
        <v>321.42857142857144</v>
      </c>
      <c r="F108" s="294">
        <f t="shared" si="41"/>
        <v>129.03225806451613</v>
      </c>
      <c r="G108" s="294">
        <f t="shared" si="42"/>
        <v>33.333333333333336</v>
      </c>
      <c r="H108" s="294">
        <f t="shared" si="43"/>
        <v>0</v>
      </c>
      <c r="I108" s="294">
        <f t="shared" si="44"/>
        <v>0</v>
      </c>
      <c r="J108" s="294">
        <f t="shared" ref="J108:K108" si="56">(J82*1000)/31</f>
        <v>32.258064516129032</v>
      </c>
      <c r="K108" s="294">
        <f t="shared" si="56"/>
        <v>32.258064516129032</v>
      </c>
      <c r="L108" s="294">
        <f t="shared" si="46"/>
        <v>133.33333333333334</v>
      </c>
      <c r="M108" s="294">
        <f t="shared" si="47"/>
        <v>161.29032258064515</v>
      </c>
      <c r="N108" s="294">
        <f t="shared" si="48"/>
        <v>166.66666666666666</v>
      </c>
      <c r="O108" s="294">
        <f t="shared" si="49"/>
        <v>129.03225806451613</v>
      </c>
    </row>
    <row r="109" spans="1:16" s="57" customFormat="1">
      <c r="A109" s="124"/>
      <c r="B109" s="134">
        <v>6663150208</v>
      </c>
      <c r="C109" s="135" t="s">
        <v>54</v>
      </c>
      <c r="D109" s="294">
        <f t="shared" si="39"/>
        <v>516.12903225806451</v>
      </c>
      <c r="E109" s="294">
        <f t="shared" si="40"/>
        <v>1250</v>
      </c>
      <c r="F109" s="294">
        <f t="shared" si="41"/>
        <v>1000</v>
      </c>
      <c r="G109" s="294">
        <f t="shared" si="42"/>
        <v>333.33333333333331</v>
      </c>
      <c r="H109" s="294">
        <f t="shared" si="43"/>
        <v>96.774193548387103</v>
      </c>
      <c r="I109" s="294">
        <f t="shared" si="44"/>
        <v>133.33333333333334</v>
      </c>
      <c r="J109" s="294">
        <f t="shared" ref="J109:K109" si="57">(J83*1000)/31</f>
        <v>290.32258064516128</v>
      </c>
      <c r="K109" s="294">
        <f t="shared" si="57"/>
        <v>354.83870967741933</v>
      </c>
      <c r="L109" s="294">
        <f t="shared" si="46"/>
        <v>533.33333333333337</v>
      </c>
      <c r="M109" s="294">
        <f t="shared" si="47"/>
        <v>387.09677419354841</v>
      </c>
      <c r="N109" s="294">
        <f t="shared" si="48"/>
        <v>433.33333333333331</v>
      </c>
      <c r="O109" s="294">
        <f t="shared" si="49"/>
        <v>258.06451612903226</v>
      </c>
    </row>
    <row r="110" spans="1:16" s="57" customFormat="1">
      <c r="A110" s="124"/>
      <c r="B110" s="133">
        <v>6068150813</v>
      </c>
      <c r="C110" s="135" t="s">
        <v>55</v>
      </c>
      <c r="D110" s="294">
        <f t="shared" si="39"/>
        <v>161.29032258064515</v>
      </c>
      <c r="E110" s="294">
        <f t="shared" si="40"/>
        <v>1071.4285714285713</v>
      </c>
      <c r="F110" s="294">
        <f t="shared" si="41"/>
        <v>806.45161290322585</v>
      </c>
      <c r="G110" s="294">
        <f t="shared" si="42"/>
        <v>233.33333333333334</v>
      </c>
      <c r="H110" s="294">
        <f t="shared" si="43"/>
        <v>32.258064516129032</v>
      </c>
      <c r="I110" s="294">
        <f t="shared" si="44"/>
        <v>100</v>
      </c>
      <c r="J110" s="294">
        <f t="shared" ref="J110:K110" si="58">(J84*1000)/31</f>
        <v>14000</v>
      </c>
      <c r="K110" s="294">
        <f t="shared" si="58"/>
        <v>7096.7741935483873</v>
      </c>
      <c r="L110" s="294">
        <f t="shared" si="46"/>
        <v>6500</v>
      </c>
      <c r="M110" s="294">
        <f t="shared" si="47"/>
        <v>3709.6774193548385</v>
      </c>
      <c r="N110" s="294">
        <f t="shared" si="48"/>
        <v>1866.6666666666667</v>
      </c>
      <c r="O110" s="294">
        <f t="shared" si="49"/>
        <v>96.774193548387103</v>
      </c>
    </row>
    <row r="111" spans="1:16" s="57" customFormat="1">
      <c r="A111" s="124"/>
      <c r="B111" s="134">
        <v>5068150812</v>
      </c>
      <c r="C111" s="135" t="s">
        <v>56</v>
      </c>
      <c r="D111" s="294">
        <f t="shared" si="39"/>
        <v>161.29032258064515</v>
      </c>
      <c r="E111" s="294">
        <f t="shared" si="40"/>
        <v>607.14285714285711</v>
      </c>
      <c r="F111" s="294">
        <f t="shared" si="41"/>
        <v>483.87096774193549</v>
      </c>
      <c r="G111" s="294">
        <f t="shared" si="42"/>
        <v>133.33333333333334</v>
      </c>
      <c r="H111" s="294">
        <f t="shared" si="43"/>
        <v>96.774193548387103</v>
      </c>
      <c r="I111" s="294">
        <f t="shared" si="44"/>
        <v>133.33333333333334</v>
      </c>
      <c r="J111" s="294">
        <f t="shared" ref="J111:K111" si="59">(J85*1000)/31</f>
        <v>1290.3225806451612</v>
      </c>
      <c r="K111" s="294">
        <f t="shared" si="59"/>
        <v>516.12903225806451</v>
      </c>
      <c r="L111" s="294">
        <f t="shared" si="46"/>
        <v>766.66666666666663</v>
      </c>
      <c r="M111" s="294">
        <f t="shared" si="47"/>
        <v>677.41935483870964</v>
      </c>
      <c r="N111" s="294">
        <f t="shared" si="48"/>
        <v>4233.333333333333</v>
      </c>
      <c r="O111" s="294">
        <f t="shared" si="49"/>
        <v>96.774193548387103</v>
      </c>
    </row>
    <row r="112" spans="1:16" s="57" customFormat="1">
      <c r="A112" s="124"/>
      <c r="B112" s="134">
        <v>2364150700</v>
      </c>
      <c r="C112" s="135" t="s">
        <v>57</v>
      </c>
      <c r="D112" s="294">
        <f t="shared" si="39"/>
        <v>1032.258064516129</v>
      </c>
      <c r="E112" s="294">
        <f t="shared" si="40"/>
        <v>2464.2857142857142</v>
      </c>
      <c r="F112" s="294">
        <f t="shared" si="41"/>
        <v>2516.1290322580644</v>
      </c>
      <c r="G112" s="294">
        <f t="shared" si="42"/>
        <v>333.33333333333331</v>
      </c>
      <c r="H112" s="294">
        <f t="shared" si="43"/>
        <v>258.06451612903226</v>
      </c>
      <c r="I112" s="294">
        <f t="shared" si="44"/>
        <v>400</v>
      </c>
      <c r="J112" s="294">
        <f t="shared" ref="J112:K112" si="60">(J86*1000)/31</f>
        <v>516.12903225806451</v>
      </c>
      <c r="K112" s="294">
        <f t="shared" si="60"/>
        <v>451.61290322580646</v>
      </c>
      <c r="L112" s="294">
        <f t="shared" si="46"/>
        <v>566.66666666666663</v>
      </c>
      <c r="M112" s="294">
        <f t="shared" si="47"/>
        <v>419.35483870967744</v>
      </c>
      <c r="N112" s="294">
        <f t="shared" si="48"/>
        <v>1200</v>
      </c>
      <c r="O112" s="294">
        <f t="shared" si="49"/>
        <v>1000</v>
      </c>
    </row>
    <row r="113" spans="1:16" s="57" customFormat="1">
      <c r="A113" s="124"/>
      <c r="B113" s="134">
        <v>1364150699</v>
      </c>
      <c r="C113" s="135" t="s">
        <v>58</v>
      </c>
      <c r="D113" s="294">
        <f t="shared" si="39"/>
        <v>645.16129032258061</v>
      </c>
      <c r="E113" s="294">
        <f t="shared" si="40"/>
        <v>4250</v>
      </c>
      <c r="F113" s="294">
        <f t="shared" si="41"/>
        <v>3129.0322580645161</v>
      </c>
      <c r="G113" s="294">
        <f t="shared" si="42"/>
        <v>1200</v>
      </c>
      <c r="H113" s="294">
        <f t="shared" si="43"/>
        <v>32.258064516129032</v>
      </c>
      <c r="I113" s="294">
        <f t="shared" si="44"/>
        <v>200</v>
      </c>
      <c r="J113" s="294">
        <f t="shared" ref="J113:K113" si="61">(J87*1000)/31</f>
        <v>4677.4193548387093</v>
      </c>
      <c r="K113" s="294">
        <f t="shared" si="61"/>
        <v>3451.6129032258063</v>
      </c>
      <c r="L113" s="294">
        <f t="shared" si="46"/>
        <v>4433.333333333333</v>
      </c>
      <c r="M113" s="294">
        <f t="shared" si="47"/>
        <v>3064.516129032258</v>
      </c>
      <c r="N113" s="294">
        <f t="shared" si="48"/>
        <v>2233.3333333333335</v>
      </c>
      <c r="O113" s="294">
        <f t="shared" si="49"/>
        <v>483.87096774193549</v>
      </c>
    </row>
    <row r="114" spans="1:16" s="57" customFormat="1">
      <c r="A114" s="124"/>
      <c r="B114" s="133">
        <v>2068150809</v>
      </c>
      <c r="C114" s="135" t="s">
        <v>59</v>
      </c>
      <c r="D114" s="294">
        <f t="shared" si="39"/>
        <v>0</v>
      </c>
      <c r="E114" s="294">
        <f t="shared" si="40"/>
        <v>35.714285714285715</v>
      </c>
      <c r="F114" s="294">
        <f t="shared" si="41"/>
        <v>32.258064516129032</v>
      </c>
      <c r="G114" s="294">
        <f t="shared" si="42"/>
        <v>33.333333333333336</v>
      </c>
      <c r="H114" s="294">
        <f t="shared" si="43"/>
        <v>0</v>
      </c>
      <c r="I114" s="294">
        <f t="shared" si="44"/>
        <v>0</v>
      </c>
      <c r="J114" s="294">
        <f t="shared" ref="J114:K114" si="62">(J88*1000)/31</f>
        <v>0</v>
      </c>
      <c r="K114" s="294">
        <f t="shared" si="62"/>
        <v>0</v>
      </c>
      <c r="L114" s="294">
        <f t="shared" si="46"/>
        <v>33.333333333333336</v>
      </c>
      <c r="M114" s="294">
        <f t="shared" si="47"/>
        <v>0</v>
      </c>
      <c r="N114" s="294">
        <f t="shared" si="48"/>
        <v>33.333333333333336</v>
      </c>
      <c r="O114" s="294">
        <f t="shared" si="49"/>
        <v>32.258064516129032</v>
      </c>
    </row>
    <row r="115" spans="1:16" s="57" customFormat="1">
      <c r="A115" s="124"/>
      <c r="B115" s="133">
        <v>5756250297</v>
      </c>
      <c r="C115" s="135" t="s">
        <v>60</v>
      </c>
      <c r="D115" s="294">
        <f t="shared" si="39"/>
        <v>0</v>
      </c>
      <c r="E115" s="294">
        <f t="shared" si="40"/>
        <v>0</v>
      </c>
      <c r="F115" s="294">
        <f t="shared" si="41"/>
        <v>0</v>
      </c>
      <c r="G115" s="294">
        <f t="shared" si="42"/>
        <v>0</v>
      </c>
      <c r="H115" s="294">
        <f t="shared" si="43"/>
        <v>0</v>
      </c>
      <c r="I115" s="294">
        <f t="shared" si="44"/>
        <v>0</v>
      </c>
      <c r="J115" s="294">
        <f t="shared" ref="J115:K115" si="63">(J89*1000)/31</f>
        <v>0</v>
      </c>
      <c r="K115" s="294">
        <f t="shared" si="63"/>
        <v>75580.645161290318</v>
      </c>
      <c r="L115" s="294">
        <f t="shared" si="46"/>
        <v>22800</v>
      </c>
      <c r="M115" s="294">
        <f t="shared" si="47"/>
        <v>13387.096774193549</v>
      </c>
      <c r="N115" s="294">
        <f t="shared" si="48"/>
        <v>11666.666666666666</v>
      </c>
      <c r="O115" s="294">
        <f t="shared" si="49"/>
        <v>5774.1935483870966</v>
      </c>
    </row>
    <row r="116" spans="1:16" s="57" customFormat="1">
      <c r="A116" s="124"/>
      <c r="B116" s="134">
        <v>1665911804</v>
      </c>
      <c r="C116" s="135" t="s">
        <v>61</v>
      </c>
      <c r="D116" s="294">
        <f t="shared" si="39"/>
        <v>258.06451612903226</v>
      </c>
      <c r="E116" s="294">
        <f t="shared" si="40"/>
        <v>607.14285714285711</v>
      </c>
      <c r="F116" s="294">
        <f t="shared" si="41"/>
        <v>612.90322580645159</v>
      </c>
      <c r="G116" s="294">
        <f t="shared" si="42"/>
        <v>66.666666666666671</v>
      </c>
      <c r="H116" s="294">
        <f t="shared" si="43"/>
        <v>0</v>
      </c>
      <c r="I116" s="294">
        <f t="shared" si="44"/>
        <v>166.66666666666666</v>
      </c>
      <c r="J116" s="294">
        <f t="shared" ref="J116:K116" si="64">(J90*1000)/31</f>
        <v>193.54838709677421</v>
      </c>
      <c r="K116" s="294">
        <f t="shared" si="64"/>
        <v>96.774193548387103</v>
      </c>
      <c r="L116" s="294">
        <f t="shared" si="46"/>
        <v>133.33333333333334</v>
      </c>
      <c r="M116" s="294">
        <f t="shared" si="47"/>
        <v>354.83870967741933</v>
      </c>
      <c r="N116" s="294">
        <f t="shared" si="48"/>
        <v>200</v>
      </c>
      <c r="O116" s="294">
        <f t="shared" si="49"/>
        <v>225.80645161290323</v>
      </c>
    </row>
    <row r="117" spans="1:16" s="57" customFormat="1">
      <c r="A117" s="124"/>
      <c r="B117" s="134">
        <v>3054467971</v>
      </c>
      <c r="C117" s="135" t="s">
        <v>62</v>
      </c>
      <c r="D117" s="294">
        <f t="shared" si="39"/>
        <v>612.90322580645159</v>
      </c>
      <c r="E117" s="294">
        <f t="shared" si="40"/>
        <v>1357.1428571428571</v>
      </c>
      <c r="F117" s="294">
        <f t="shared" si="41"/>
        <v>1161.2903225806451</v>
      </c>
      <c r="G117" s="294">
        <f t="shared" si="42"/>
        <v>300</v>
      </c>
      <c r="H117" s="294">
        <f t="shared" si="43"/>
        <v>64.516129032258064</v>
      </c>
      <c r="I117" s="294">
        <f t="shared" si="44"/>
        <v>133.33333333333334</v>
      </c>
      <c r="J117" s="294">
        <f t="shared" ref="J117:K117" si="65">(J91*1000)/31</f>
        <v>387.09677419354841</v>
      </c>
      <c r="K117" s="294">
        <f t="shared" si="65"/>
        <v>387.09677419354841</v>
      </c>
      <c r="L117" s="294">
        <f t="shared" si="46"/>
        <v>500</v>
      </c>
      <c r="M117" s="294">
        <f t="shared" si="47"/>
        <v>419.35483870967744</v>
      </c>
      <c r="N117" s="294">
        <f t="shared" si="48"/>
        <v>566.66666666666663</v>
      </c>
      <c r="O117" s="294">
        <f t="shared" si="49"/>
        <v>258.06451612903226</v>
      </c>
    </row>
    <row r="118" spans="1:16" s="57" customFormat="1">
      <c r="A118" s="124"/>
      <c r="B118" s="134">
        <v>3380811569</v>
      </c>
      <c r="C118" s="135" t="s">
        <v>63</v>
      </c>
      <c r="D118" s="294">
        <f t="shared" si="39"/>
        <v>0</v>
      </c>
      <c r="E118" s="294">
        <f t="shared" si="40"/>
        <v>0</v>
      </c>
      <c r="F118" s="294">
        <f t="shared" si="41"/>
        <v>0</v>
      </c>
      <c r="G118" s="294">
        <f t="shared" si="42"/>
        <v>0</v>
      </c>
      <c r="H118" s="294">
        <f t="shared" si="43"/>
        <v>0</v>
      </c>
      <c r="I118" s="294">
        <f t="shared" si="44"/>
        <v>0</v>
      </c>
      <c r="J118" s="294">
        <f t="shared" ref="J118:K118" si="66">(J92*1000)/31</f>
        <v>0</v>
      </c>
      <c r="K118" s="294">
        <f t="shared" si="66"/>
        <v>0</v>
      </c>
      <c r="L118" s="294">
        <f t="shared" si="46"/>
        <v>0</v>
      </c>
      <c r="M118" s="294">
        <f t="shared" si="47"/>
        <v>0</v>
      </c>
      <c r="N118" s="294">
        <f t="shared" si="48"/>
        <v>0</v>
      </c>
      <c r="O118" s="294">
        <f t="shared" si="49"/>
        <v>96.774193548387103</v>
      </c>
    </row>
    <row r="119" spans="1:16" s="57" customFormat="1">
      <c r="D119" s="125">
        <f>SUM(D100:D118)</f>
        <v>8225.8064516129016</v>
      </c>
      <c r="E119" s="205">
        <f t="shared" ref="E119:O119" si="67">SUM(E100:E118)</f>
        <v>35428.57142857142</v>
      </c>
      <c r="F119" s="205">
        <f t="shared" si="67"/>
        <v>27516.129032258064</v>
      </c>
      <c r="G119" s="205">
        <f t="shared" si="67"/>
        <v>13900.000000000004</v>
      </c>
      <c r="H119" s="205">
        <f t="shared" si="67"/>
        <v>13741.935483870966</v>
      </c>
      <c r="I119" s="205">
        <f t="shared" si="67"/>
        <v>16433.333333333336</v>
      </c>
      <c r="J119" s="205">
        <f t="shared" si="67"/>
        <v>38677.419354838712</v>
      </c>
      <c r="K119" s="205">
        <f t="shared" si="67"/>
        <v>102806.45161290323</v>
      </c>
      <c r="L119" s="205">
        <f t="shared" si="67"/>
        <v>67566.666666666672</v>
      </c>
      <c r="M119" s="205">
        <f t="shared" si="67"/>
        <v>50129.032258064501</v>
      </c>
      <c r="N119" s="205">
        <f t="shared" si="67"/>
        <v>48100</v>
      </c>
      <c r="O119" s="205">
        <f t="shared" si="67"/>
        <v>19806.451612903224</v>
      </c>
    </row>
    <row r="120" spans="1:16" s="57" customFormat="1"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</row>
    <row r="121" spans="1:16" s="57" customFormat="1">
      <c r="A121" s="79"/>
      <c r="B121" s="79"/>
      <c r="C121" s="79"/>
      <c r="D121" s="79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9"/>
    </row>
    <row r="122" spans="1:16" s="57" customFormat="1">
      <c r="A122" s="149" t="s">
        <v>72</v>
      </c>
      <c r="B122" s="141">
        <v>2021</v>
      </c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</row>
    <row r="123" spans="1:16" s="57" customFormat="1" ht="15.75" thickBot="1">
      <c r="A123" s="142" t="s">
        <v>30</v>
      </c>
      <c r="B123" s="143" t="s">
        <v>31</v>
      </c>
      <c r="C123" s="143" t="s">
        <v>32</v>
      </c>
      <c r="D123" s="143" t="s">
        <v>33</v>
      </c>
      <c r="E123" s="143" t="s">
        <v>34</v>
      </c>
      <c r="F123" s="143" t="s">
        <v>35</v>
      </c>
      <c r="G123" s="143" t="s">
        <v>36</v>
      </c>
      <c r="H123" s="143" t="s">
        <v>37</v>
      </c>
      <c r="I123" s="143" t="s">
        <v>38</v>
      </c>
      <c r="J123" s="143" t="s">
        <v>39</v>
      </c>
      <c r="K123" s="143" t="s">
        <v>40</v>
      </c>
      <c r="L123" s="143" t="s">
        <v>41</v>
      </c>
      <c r="M123" s="143" t="s">
        <v>42</v>
      </c>
      <c r="N123" s="143" t="s">
        <v>43</v>
      </c>
      <c r="O123" s="143" t="s">
        <v>44</v>
      </c>
      <c r="P123" s="144" t="s">
        <v>100</v>
      </c>
    </row>
    <row r="124" spans="1:16" s="57" customFormat="1">
      <c r="A124" s="140"/>
      <c r="B124" s="145">
        <v>7534810685</v>
      </c>
      <c r="C124" s="165" t="s">
        <v>45</v>
      </c>
      <c r="D124" s="148">
        <v>12</v>
      </c>
      <c r="E124" s="148">
        <v>14</v>
      </c>
      <c r="F124" s="148">
        <v>14</v>
      </c>
      <c r="G124" s="148">
        <v>14</v>
      </c>
      <c r="H124" s="148">
        <v>17</v>
      </c>
      <c r="I124" s="148">
        <v>10</v>
      </c>
      <c r="J124" s="148">
        <v>10</v>
      </c>
      <c r="K124" s="148">
        <v>14</v>
      </c>
      <c r="L124" s="148">
        <v>13</v>
      </c>
      <c r="M124" s="148">
        <v>18</v>
      </c>
      <c r="N124" s="148">
        <v>12</v>
      </c>
      <c r="O124" s="148">
        <v>15</v>
      </c>
      <c r="P124" s="164">
        <f>SUM(D124:O124)</f>
        <v>163</v>
      </c>
    </row>
    <row r="125" spans="1:16" s="57" customFormat="1">
      <c r="A125" s="140"/>
      <c r="B125" s="145">
        <v>4366050935</v>
      </c>
      <c r="C125" s="165" t="s">
        <v>46</v>
      </c>
      <c r="D125" s="148">
        <v>3</v>
      </c>
      <c r="E125" s="148">
        <v>16</v>
      </c>
      <c r="F125" s="148">
        <v>17</v>
      </c>
      <c r="G125" s="148">
        <v>15</v>
      </c>
      <c r="H125" s="148">
        <v>12</v>
      </c>
      <c r="I125" s="148">
        <v>1</v>
      </c>
      <c r="J125" s="148">
        <v>0</v>
      </c>
      <c r="K125" s="148">
        <v>2</v>
      </c>
      <c r="L125" s="148">
        <v>69</v>
      </c>
      <c r="M125" s="148">
        <v>49</v>
      </c>
      <c r="N125" s="148">
        <v>62</v>
      </c>
      <c r="O125" s="148">
        <v>46</v>
      </c>
      <c r="P125" s="164">
        <f t="shared" ref="P125:P142" si="68">SUM(D125:O125)</f>
        <v>292</v>
      </c>
    </row>
    <row r="126" spans="1:16" s="57" customFormat="1">
      <c r="A126" s="140"/>
      <c r="B126" s="145">
        <v>6366050937</v>
      </c>
      <c r="C126" s="165" t="s">
        <v>47</v>
      </c>
      <c r="D126" s="148">
        <v>1</v>
      </c>
      <c r="E126" s="148">
        <v>59</v>
      </c>
      <c r="F126" s="148">
        <v>49</v>
      </c>
      <c r="G126" s="148">
        <v>57</v>
      </c>
      <c r="H126" s="148">
        <v>96</v>
      </c>
      <c r="I126" s="148">
        <v>112</v>
      </c>
      <c r="J126" s="148">
        <v>28</v>
      </c>
      <c r="K126" s="148">
        <v>2</v>
      </c>
      <c r="L126" s="148">
        <v>57</v>
      </c>
      <c r="M126" s="148">
        <v>54</v>
      </c>
      <c r="N126" s="148">
        <v>58</v>
      </c>
      <c r="O126" s="148">
        <v>27</v>
      </c>
      <c r="P126" s="164">
        <f t="shared" si="68"/>
        <v>600</v>
      </c>
    </row>
    <row r="127" spans="1:16" s="57" customFormat="1">
      <c r="A127" s="140"/>
      <c r="B127" s="145">
        <v>7366050938</v>
      </c>
      <c r="C127" s="165" t="s">
        <v>48</v>
      </c>
      <c r="D127" s="148">
        <v>12</v>
      </c>
      <c r="E127" s="148">
        <v>18</v>
      </c>
      <c r="F127" s="148">
        <v>22</v>
      </c>
      <c r="G127" s="148">
        <v>19</v>
      </c>
      <c r="H127" s="148">
        <v>23</v>
      </c>
      <c r="I127" s="148">
        <v>25</v>
      </c>
      <c r="J127" s="148">
        <v>38</v>
      </c>
      <c r="K127" s="148">
        <v>64</v>
      </c>
      <c r="L127" s="148">
        <v>55</v>
      </c>
      <c r="M127" s="148">
        <v>51</v>
      </c>
      <c r="N127" s="148">
        <v>34</v>
      </c>
      <c r="O127" s="148">
        <v>30</v>
      </c>
      <c r="P127" s="164">
        <f t="shared" si="68"/>
        <v>391</v>
      </c>
    </row>
    <row r="128" spans="1:16" s="57" customFormat="1">
      <c r="A128" s="140"/>
      <c r="B128" s="145">
        <v>3366050934</v>
      </c>
      <c r="C128" s="165" t="s">
        <v>49</v>
      </c>
      <c r="D128" s="148">
        <v>1</v>
      </c>
      <c r="E128" s="148">
        <v>103</v>
      </c>
      <c r="F128" s="148">
        <v>189</v>
      </c>
      <c r="G128" s="148">
        <v>165</v>
      </c>
      <c r="H128" s="148">
        <v>120</v>
      </c>
      <c r="I128" s="148">
        <v>51</v>
      </c>
      <c r="J128" s="148">
        <v>84</v>
      </c>
      <c r="K128" s="148">
        <v>60</v>
      </c>
      <c r="L128" s="148">
        <v>110</v>
      </c>
      <c r="M128" s="148">
        <v>137</v>
      </c>
      <c r="N128" s="148">
        <v>127</v>
      </c>
      <c r="O128" s="148">
        <v>122</v>
      </c>
      <c r="P128" s="164">
        <f t="shared" si="68"/>
        <v>1269</v>
      </c>
    </row>
    <row r="129" spans="1:16" s="57" customFormat="1">
      <c r="A129" s="140"/>
      <c r="B129" s="145">
        <v>5581150299</v>
      </c>
      <c r="C129" s="165" t="s">
        <v>50</v>
      </c>
      <c r="D129" s="148">
        <v>39</v>
      </c>
      <c r="E129" s="148">
        <v>129</v>
      </c>
      <c r="F129" s="148">
        <v>143</v>
      </c>
      <c r="G129" s="148">
        <v>136</v>
      </c>
      <c r="H129" s="148">
        <v>104</v>
      </c>
      <c r="I129" s="148">
        <v>19</v>
      </c>
      <c r="J129" s="148">
        <v>101</v>
      </c>
      <c r="K129" s="148">
        <v>183</v>
      </c>
      <c r="L129" s="148">
        <v>209</v>
      </c>
      <c r="M129" s="148">
        <v>324</v>
      </c>
      <c r="N129" s="148">
        <v>316</v>
      </c>
      <c r="O129" s="148">
        <v>325</v>
      </c>
      <c r="P129" s="164">
        <f t="shared" si="68"/>
        <v>2028</v>
      </c>
    </row>
    <row r="130" spans="1:16" s="57" customFormat="1">
      <c r="A130" s="140"/>
      <c r="B130" s="145">
        <v>5366050936</v>
      </c>
      <c r="C130" s="165" t="s">
        <v>51</v>
      </c>
      <c r="D130" s="148">
        <v>0</v>
      </c>
      <c r="E130" s="148">
        <v>26</v>
      </c>
      <c r="F130" s="148">
        <v>29</v>
      </c>
      <c r="G130" s="148">
        <v>31</v>
      </c>
      <c r="H130" s="148">
        <v>23</v>
      </c>
      <c r="I130" s="148">
        <v>9</v>
      </c>
      <c r="J130" s="148">
        <v>9</v>
      </c>
      <c r="K130" s="148">
        <v>12</v>
      </c>
      <c r="L130" s="148">
        <v>20</v>
      </c>
      <c r="M130" s="148">
        <v>41</v>
      </c>
      <c r="N130" s="148">
        <v>31</v>
      </c>
      <c r="O130" s="148">
        <v>26</v>
      </c>
      <c r="P130" s="164">
        <f t="shared" si="68"/>
        <v>257</v>
      </c>
    </row>
    <row r="131" spans="1:16" s="57" customFormat="1">
      <c r="A131" s="140"/>
      <c r="B131" s="145">
        <v>2052150585</v>
      </c>
      <c r="C131" s="165" t="s">
        <v>52</v>
      </c>
      <c r="D131" s="148">
        <v>37</v>
      </c>
      <c r="E131" s="148">
        <v>158</v>
      </c>
      <c r="F131" s="148">
        <v>176</v>
      </c>
      <c r="G131" s="148">
        <v>190</v>
      </c>
      <c r="H131" s="148">
        <v>151</v>
      </c>
      <c r="I131" s="148">
        <v>162</v>
      </c>
      <c r="J131" s="148">
        <v>273</v>
      </c>
      <c r="K131" s="148">
        <v>315</v>
      </c>
      <c r="L131" s="148">
        <v>558</v>
      </c>
      <c r="M131" s="148">
        <v>454</v>
      </c>
      <c r="N131" s="148">
        <v>249</v>
      </c>
      <c r="O131" s="148">
        <v>189</v>
      </c>
      <c r="P131" s="164">
        <f t="shared" si="68"/>
        <v>2912</v>
      </c>
    </row>
    <row r="132" spans="1:16" s="57" customFormat="1">
      <c r="A132" s="140"/>
      <c r="B132" s="145">
        <v>8635150066</v>
      </c>
      <c r="C132" s="165" t="s">
        <v>53</v>
      </c>
      <c r="D132" s="148">
        <v>3</v>
      </c>
      <c r="E132" s="148">
        <v>3</v>
      </c>
      <c r="F132" s="148">
        <v>3</v>
      </c>
      <c r="G132" s="148">
        <v>3</v>
      </c>
      <c r="H132" s="148">
        <v>31</v>
      </c>
      <c r="I132" s="148">
        <v>14</v>
      </c>
      <c r="J132" s="148">
        <v>123</v>
      </c>
      <c r="K132" s="148">
        <v>9</v>
      </c>
      <c r="L132" s="148">
        <v>17</v>
      </c>
      <c r="M132" s="148">
        <v>19</v>
      </c>
      <c r="N132" s="148">
        <v>30</v>
      </c>
      <c r="O132" s="148">
        <v>27</v>
      </c>
      <c r="P132" s="164">
        <f t="shared" si="68"/>
        <v>282</v>
      </c>
    </row>
    <row r="133" spans="1:16" s="57" customFormat="1">
      <c r="A133" s="140"/>
      <c r="B133" s="146">
        <v>6663150208</v>
      </c>
      <c r="C133" s="165" t="s">
        <v>54</v>
      </c>
      <c r="D133" s="148">
        <v>30</v>
      </c>
      <c r="E133" s="148">
        <v>16</v>
      </c>
      <c r="F133" s="148">
        <v>18</v>
      </c>
      <c r="G133" s="148">
        <v>17</v>
      </c>
      <c r="H133" s="148">
        <v>19</v>
      </c>
      <c r="I133" s="148">
        <v>12</v>
      </c>
      <c r="J133" s="148">
        <v>12</v>
      </c>
      <c r="K133" s="148">
        <v>12</v>
      </c>
      <c r="L133" s="148">
        <v>17</v>
      </c>
      <c r="M133" s="148">
        <v>21</v>
      </c>
      <c r="N133" s="148">
        <v>22</v>
      </c>
      <c r="O133" s="148">
        <v>22</v>
      </c>
      <c r="P133" s="164">
        <f t="shared" si="68"/>
        <v>218</v>
      </c>
    </row>
    <row r="134" spans="1:16" s="57" customFormat="1">
      <c r="A134" s="140"/>
      <c r="B134" s="145">
        <v>6068150813</v>
      </c>
      <c r="C134" s="165" t="s">
        <v>55</v>
      </c>
      <c r="D134" s="148">
        <v>2</v>
      </c>
      <c r="E134" s="148">
        <v>7</v>
      </c>
      <c r="F134" s="148">
        <v>8</v>
      </c>
      <c r="G134" s="148">
        <v>8</v>
      </c>
      <c r="H134" s="148">
        <v>7</v>
      </c>
      <c r="I134" s="148">
        <v>13</v>
      </c>
      <c r="J134" s="148">
        <v>23</v>
      </c>
      <c r="K134" s="148">
        <v>14</v>
      </c>
      <c r="L134" s="148">
        <v>37</v>
      </c>
      <c r="M134" s="148">
        <v>78</v>
      </c>
      <c r="N134" s="148">
        <v>30</v>
      </c>
      <c r="O134" s="148">
        <v>21</v>
      </c>
      <c r="P134" s="164">
        <f t="shared" si="68"/>
        <v>248</v>
      </c>
    </row>
    <row r="135" spans="1:16" s="57" customFormat="1">
      <c r="A135" s="140"/>
      <c r="B135" s="146">
        <v>5068150812</v>
      </c>
      <c r="C135" s="165" t="s">
        <v>56</v>
      </c>
      <c r="D135" s="148">
        <v>2</v>
      </c>
      <c r="E135" s="148">
        <v>4</v>
      </c>
      <c r="F135" s="148">
        <v>6</v>
      </c>
      <c r="G135" s="148">
        <v>5</v>
      </c>
      <c r="H135" s="148">
        <v>6</v>
      </c>
      <c r="I135" s="148">
        <v>2</v>
      </c>
      <c r="J135" s="148">
        <v>2</v>
      </c>
      <c r="K135" s="148">
        <v>2</v>
      </c>
      <c r="L135" s="148">
        <v>5</v>
      </c>
      <c r="M135" s="148">
        <v>7</v>
      </c>
      <c r="N135" s="148">
        <v>10</v>
      </c>
      <c r="O135" s="148">
        <v>7</v>
      </c>
      <c r="P135" s="164">
        <f t="shared" si="68"/>
        <v>58</v>
      </c>
    </row>
    <row r="136" spans="1:16" s="57" customFormat="1">
      <c r="A136" s="140"/>
      <c r="B136" s="146">
        <v>2364150700</v>
      </c>
      <c r="C136" s="165" t="s">
        <v>57</v>
      </c>
      <c r="D136" s="148">
        <v>34</v>
      </c>
      <c r="E136" s="148">
        <v>33</v>
      </c>
      <c r="F136" s="148">
        <v>33</v>
      </c>
      <c r="G136" s="148">
        <v>26</v>
      </c>
      <c r="H136" s="148">
        <v>46</v>
      </c>
      <c r="I136" s="148">
        <v>23</v>
      </c>
      <c r="J136" s="148">
        <v>40</v>
      </c>
      <c r="K136" s="148">
        <v>41</v>
      </c>
      <c r="L136" s="148">
        <v>62</v>
      </c>
      <c r="M136" s="148">
        <v>57</v>
      </c>
      <c r="N136" s="148">
        <v>43</v>
      </c>
      <c r="O136" s="148">
        <v>48</v>
      </c>
      <c r="P136" s="164">
        <f t="shared" si="68"/>
        <v>486</v>
      </c>
    </row>
    <row r="137" spans="1:16" s="57" customFormat="1">
      <c r="A137" s="140"/>
      <c r="B137" s="146">
        <v>1364150699</v>
      </c>
      <c r="C137" s="165" t="s">
        <v>58</v>
      </c>
      <c r="D137" s="148">
        <v>17</v>
      </c>
      <c r="E137" s="148">
        <v>25</v>
      </c>
      <c r="F137" s="148">
        <v>28</v>
      </c>
      <c r="G137" s="148">
        <v>26</v>
      </c>
      <c r="H137" s="148">
        <v>21</v>
      </c>
      <c r="I137" s="148">
        <v>94</v>
      </c>
      <c r="J137" s="148">
        <v>135</v>
      </c>
      <c r="K137" s="148">
        <v>167</v>
      </c>
      <c r="L137" s="148">
        <v>327</v>
      </c>
      <c r="M137" s="148">
        <v>190</v>
      </c>
      <c r="N137" s="148">
        <v>83</v>
      </c>
      <c r="O137" s="148">
        <v>56</v>
      </c>
      <c r="P137" s="164">
        <f t="shared" si="68"/>
        <v>1169</v>
      </c>
    </row>
    <row r="138" spans="1:16" s="57" customFormat="1">
      <c r="A138" s="140"/>
      <c r="B138" s="145">
        <v>2068150809</v>
      </c>
      <c r="C138" s="165" t="s">
        <v>59</v>
      </c>
      <c r="D138" s="148">
        <v>0</v>
      </c>
      <c r="E138" s="148">
        <v>0</v>
      </c>
      <c r="F138" s="148">
        <v>1</v>
      </c>
      <c r="G138" s="148">
        <v>1</v>
      </c>
      <c r="H138" s="148">
        <v>2</v>
      </c>
      <c r="I138" s="148">
        <v>0</v>
      </c>
      <c r="J138" s="148">
        <v>1</v>
      </c>
      <c r="K138" s="148">
        <v>1</v>
      </c>
      <c r="L138" s="148">
        <v>0</v>
      </c>
      <c r="M138" s="148">
        <v>1</v>
      </c>
      <c r="N138" s="148">
        <v>1</v>
      </c>
      <c r="O138" s="148">
        <v>1</v>
      </c>
      <c r="P138" s="164">
        <f t="shared" si="68"/>
        <v>9</v>
      </c>
    </row>
    <row r="139" spans="1:16" s="57" customFormat="1">
      <c r="A139" s="140"/>
      <c r="B139" s="145">
        <v>5756250297</v>
      </c>
      <c r="C139" s="165" t="s">
        <v>60</v>
      </c>
      <c r="D139" s="146">
        <v>135</v>
      </c>
      <c r="E139" s="146">
        <v>1</v>
      </c>
      <c r="F139" s="146">
        <v>2</v>
      </c>
      <c r="G139" s="146">
        <v>2</v>
      </c>
      <c r="H139" s="146">
        <v>40</v>
      </c>
      <c r="I139" s="146">
        <v>247</v>
      </c>
      <c r="J139" s="146">
        <v>360</v>
      </c>
      <c r="K139" s="146">
        <v>406</v>
      </c>
      <c r="L139" s="146">
        <v>615</v>
      </c>
      <c r="M139" s="146">
        <v>674</v>
      </c>
      <c r="N139" s="146">
        <v>456</v>
      </c>
      <c r="O139" s="146">
        <v>444</v>
      </c>
      <c r="P139" s="164">
        <f t="shared" si="68"/>
        <v>3382</v>
      </c>
    </row>
    <row r="140" spans="1:16" s="57" customFormat="1">
      <c r="A140" s="140"/>
      <c r="B140" s="146">
        <v>1665911804</v>
      </c>
      <c r="C140" s="165" t="s">
        <v>61</v>
      </c>
      <c r="D140" s="148">
        <v>3</v>
      </c>
      <c r="E140" s="148">
        <v>19</v>
      </c>
      <c r="F140" s="148">
        <v>3</v>
      </c>
      <c r="G140" s="148">
        <v>9</v>
      </c>
      <c r="H140" s="148">
        <v>5</v>
      </c>
      <c r="I140" s="148">
        <v>3</v>
      </c>
      <c r="J140" s="148">
        <v>4</v>
      </c>
      <c r="K140" s="148">
        <v>5</v>
      </c>
      <c r="L140" s="148">
        <v>6</v>
      </c>
      <c r="M140" s="148">
        <v>6</v>
      </c>
      <c r="N140" s="148">
        <v>14</v>
      </c>
      <c r="O140" s="148">
        <v>11</v>
      </c>
      <c r="P140" s="164">
        <f t="shared" si="68"/>
        <v>88</v>
      </c>
    </row>
    <row r="141" spans="1:16" s="57" customFormat="1">
      <c r="A141" s="140"/>
      <c r="B141" s="146">
        <v>3054467971</v>
      </c>
      <c r="C141" s="165" t="s">
        <v>62</v>
      </c>
      <c r="D141" s="148">
        <v>5</v>
      </c>
      <c r="E141" s="148">
        <v>10</v>
      </c>
      <c r="F141" s="148">
        <v>13</v>
      </c>
      <c r="G141" s="148">
        <v>13</v>
      </c>
      <c r="H141" s="148">
        <v>14</v>
      </c>
      <c r="I141" s="148">
        <v>11</v>
      </c>
      <c r="J141" s="148">
        <v>13</v>
      </c>
      <c r="K141" s="148">
        <v>15</v>
      </c>
      <c r="L141" s="148">
        <v>21</v>
      </c>
      <c r="M141" s="148">
        <v>24</v>
      </c>
      <c r="N141" s="148">
        <v>42</v>
      </c>
      <c r="O141" s="148">
        <v>22</v>
      </c>
      <c r="P141" s="164">
        <f t="shared" si="68"/>
        <v>203</v>
      </c>
    </row>
    <row r="142" spans="1:16" s="57" customFormat="1">
      <c r="A142" s="140"/>
      <c r="B142" s="146">
        <v>3380811569</v>
      </c>
      <c r="C142" s="165" t="s">
        <v>63</v>
      </c>
      <c r="D142" s="148">
        <v>0</v>
      </c>
      <c r="E142" s="148">
        <v>0</v>
      </c>
      <c r="F142" s="148">
        <v>0</v>
      </c>
      <c r="G142" s="148">
        <v>0</v>
      </c>
      <c r="H142" s="148">
        <v>0</v>
      </c>
      <c r="I142" s="148">
        <v>0</v>
      </c>
      <c r="J142" s="148">
        <v>1</v>
      </c>
      <c r="K142" s="148">
        <v>0</v>
      </c>
      <c r="L142" s="148">
        <v>0</v>
      </c>
      <c r="M142" s="148">
        <v>0</v>
      </c>
      <c r="N142" s="148">
        <v>0</v>
      </c>
      <c r="O142" s="148">
        <v>0</v>
      </c>
      <c r="P142" s="164">
        <f t="shared" si="68"/>
        <v>1</v>
      </c>
    </row>
    <row r="143" spans="1:16" s="57" customFormat="1">
      <c r="A143" s="140"/>
      <c r="B143" s="140"/>
      <c r="C143" s="140"/>
      <c r="D143" s="163">
        <v>336</v>
      </c>
      <c r="E143" s="163">
        <v>641</v>
      </c>
      <c r="F143" s="163">
        <v>754</v>
      </c>
      <c r="G143" s="163">
        <v>737</v>
      </c>
      <c r="H143" s="163">
        <v>737</v>
      </c>
      <c r="I143" s="163">
        <v>808</v>
      </c>
      <c r="J143" s="163">
        <v>1257</v>
      </c>
      <c r="K143" s="163">
        <v>1324</v>
      </c>
      <c r="L143" s="163">
        <v>2198</v>
      </c>
      <c r="M143" s="163">
        <v>2205</v>
      </c>
      <c r="N143" s="163">
        <v>1620</v>
      </c>
      <c r="O143" s="163">
        <v>1439</v>
      </c>
      <c r="P143" s="298">
        <f>SUM(P124:P142)</f>
        <v>14056</v>
      </c>
    </row>
    <row r="144" spans="1:16" s="57" customFormat="1"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6" s="57" customFormat="1">
      <c r="A145" s="140"/>
      <c r="B145" s="140"/>
      <c r="C145" s="147" t="s">
        <v>64</v>
      </c>
      <c r="D145" s="122">
        <f>D143*1000</f>
        <v>336000</v>
      </c>
      <c r="E145" s="122">
        <f t="shared" ref="E145:P145" si="69">E143*1000</f>
        <v>641000</v>
      </c>
      <c r="F145" s="122">
        <f t="shared" si="69"/>
        <v>754000</v>
      </c>
      <c r="G145" s="122">
        <f t="shared" si="69"/>
        <v>737000</v>
      </c>
      <c r="H145" s="122">
        <f t="shared" si="69"/>
        <v>737000</v>
      </c>
      <c r="I145" s="122">
        <f t="shared" si="69"/>
        <v>808000</v>
      </c>
      <c r="J145" s="122">
        <f t="shared" si="69"/>
        <v>1257000</v>
      </c>
      <c r="K145" s="122">
        <f t="shared" si="69"/>
        <v>1324000</v>
      </c>
      <c r="L145" s="122">
        <f t="shared" si="69"/>
        <v>2198000</v>
      </c>
      <c r="M145" s="122">
        <f t="shared" si="69"/>
        <v>2205000</v>
      </c>
      <c r="N145" s="122">
        <f t="shared" si="69"/>
        <v>1620000</v>
      </c>
      <c r="O145" s="122">
        <f t="shared" si="69"/>
        <v>1439000</v>
      </c>
      <c r="P145" s="122">
        <f t="shared" si="69"/>
        <v>14056000</v>
      </c>
    </row>
    <row r="146" spans="1:16" s="57" customFormat="1"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6" s="57" customFormat="1"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</row>
    <row r="148" spans="1:16" s="57" customFormat="1">
      <c r="A148" s="162" t="s">
        <v>73</v>
      </c>
      <c r="B148" s="140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</row>
    <row r="149" spans="1:16" s="57" customFormat="1" ht="15.75" thickBot="1">
      <c r="A149" s="152" t="s">
        <v>30</v>
      </c>
      <c r="B149" s="153" t="s">
        <v>31</v>
      </c>
      <c r="C149" s="154" t="s">
        <v>32</v>
      </c>
      <c r="D149" s="155" t="s">
        <v>33</v>
      </c>
      <c r="E149" s="156" t="s">
        <v>34</v>
      </c>
      <c r="F149" s="157" t="s">
        <v>35</v>
      </c>
      <c r="G149" s="157" t="s">
        <v>36</v>
      </c>
      <c r="H149" s="157" t="s">
        <v>37</v>
      </c>
      <c r="I149" s="157" t="s">
        <v>38</v>
      </c>
      <c r="J149" s="157" t="s">
        <v>39</v>
      </c>
      <c r="K149" s="157" t="s">
        <v>40</v>
      </c>
      <c r="L149" s="157" t="s">
        <v>41</v>
      </c>
      <c r="M149" s="157" t="s">
        <v>42</v>
      </c>
      <c r="N149" s="157" t="s">
        <v>43</v>
      </c>
      <c r="O149" s="157" t="s">
        <v>44</v>
      </c>
      <c r="P149" s="140"/>
    </row>
    <row r="150" spans="1:16" s="57" customFormat="1">
      <c r="A150" s="150"/>
      <c r="B150" s="158">
        <v>7534810685</v>
      </c>
      <c r="C150" s="161" t="s">
        <v>45</v>
      </c>
      <c r="D150" s="294">
        <f>(D124*1000)/31</f>
        <v>387.09677419354841</v>
      </c>
      <c r="E150" s="294">
        <f>(E124*1000)/28</f>
        <v>500</v>
      </c>
      <c r="F150" s="294">
        <f>(F124*1000)/31</f>
        <v>451.61290322580646</v>
      </c>
      <c r="G150" s="294">
        <f>(G124*1000)/30</f>
        <v>466.66666666666669</v>
      </c>
      <c r="H150" s="294">
        <f>(H124*1000)/31</f>
        <v>548.38709677419354</v>
      </c>
      <c r="I150" s="294">
        <f>(I124*1000)/30</f>
        <v>333.33333333333331</v>
      </c>
      <c r="J150" s="294">
        <f>(J124*1000)/31</f>
        <v>322.58064516129031</v>
      </c>
      <c r="K150" s="294">
        <f>(K124*1000)/31</f>
        <v>451.61290322580646</v>
      </c>
      <c r="L150" s="294">
        <f>(L124*1000)/30</f>
        <v>433.33333333333331</v>
      </c>
      <c r="M150" s="294">
        <f>(M124*1000)/31</f>
        <v>580.64516129032256</v>
      </c>
      <c r="N150" s="294">
        <f>(N124*1000)/30</f>
        <v>400</v>
      </c>
      <c r="O150" s="294">
        <f>(O124*1000)/31</f>
        <v>483.87096774193549</v>
      </c>
      <c r="P150" s="140"/>
    </row>
    <row r="151" spans="1:16" s="57" customFormat="1">
      <c r="A151" s="150"/>
      <c r="B151" s="158">
        <v>4366050935</v>
      </c>
      <c r="C151" s="161" t="s">
        <v>46</v>
      </c>
      <c r="D151" s="294">
        <f t="shared" ref="D151:D168" si="70">(D125*1000)/31</f>
        <v>96.774193548387103</v>
      </c>
      <c r="E151" s="294">
        <f t="shared" ref="E151:E168" si="71">(E125*1000)/28</f>
        <v>571.42857142857144</v>
      </c>
      <c r="F151" s="294">
        <f t="shared" ref="F151:F168" si="72">(F125*1000)/31</f>
        <v>548.38709677419354</v>
      </c>
      <c r="G151" s="294">
        <f t="shared" ref="G151:G168" si="73">(G125*1000)/30</f>
        <v>500</v>
      </c>
      <c r="H151" s="294">
        <f t="shared" ref="H151:H168" si="74">(H125*1000)/31</f>
        <v>387.09677419354841</v>
      </c>
      <c r="I151" s="294">
        <f t="shared" ref="I151:I168" si="75">(I125*1000)/30</f>
        <v>33.333333333333336</v>
      </c>
      <c r="J151" s="294">
        <f t="shared" ref="J151:K151" si="76">(J125*1000)/31</f>
        <v>0</v>
      </c>
      <c r="K151" s="294">
        <f t="shared" si="76"/>
        <v>64.516129032258064</v>
      </c>
      <c r="L151" s="294">
        <f t="shared" ref="L151:L168" si="77">(L125*1000)/30</f>
        <v>2300</v>
      </c>
      <c r="M151" s="294">
        <f t="shared" ref="M151:M168" si="78">(M125*1000)/31</f>
        <v>1580.6451612903227</v>
      </c>
      <c r="N151" s="294">
        <f t="shared" ref="N151:N168" si="79">(N125*1000)/30</f>
        <v>2066.6666666666665</v>
      </c>
      <c r="O151" s="294">
        <f t="shared" ref="O151:O168" si="80">(O125*1000)/31</f>
        <v>1483.8709677419354</v>
      </c>
      <c r="P151" s="140"/>
    </row>
    <row r="152" spans="1:16" s="57" customFormat="1">
      <c r="A152" s="150"/>
      <c r="B152" s="158">
        <v>6366050937</v>
      </c>
      <c r="C152" s="161" t="s">
        <v>47</v>
      </c>
      <c r="D152" s="294">
        <f t="shared" si="70"/>
        <v>32.258064516129032</v>
      </c>
      <c r="E152" s="294">
        <f t="shared" si="71"/>
        <v>2107.1428571428573</v>
      </c>
      <c r="F152" s="294">
        <f t="shared" si="72"/>
        <v>1580.6451612903227</v>
      </c>
      <c r="G152" s="294">
        <f t="shared" si="73"/>
        <v>1900</v>
      </c>
      <c r="H152" s="294">
        <f t="shared" si="74"/>
        <v>3096.7741935483873</v>
      </c>
      <c r="I152" s="294">
        <f t="shared" si="75"/>
        <v>3733.3333333333335</v>
      </c>
      <c r="J152" s="294">
        <f t="shared" ref="J152:K152" si="81">(J126*1000)/31</f>
        <v>903.22580645161293</v>
      </c>
      <c r="K152" s="294">
        <f t="shared" si="81"/>
        <v>64.516129032258064</v>
      </c>
      <c r="L152" s="294">
        <f t="shared" si="77"/>
        <v>1900</v>
      </c>
      <c r="M152" s="294">
        <f t="shared" si="78"/>
        <v>1741.9354838709678</v>
      </c>
      <c r="N152" s="294">
        <f t="shared" si="79"/>
        <v>1933.3333333333333</v>
      </c>
      <c r="O152" s="294">
        <f t="shared" si="80"/>
        <v>870.9677419354839</v>
      </c>
      <c r="P152" s="140"/>
    </row>
    <row r="153" spans="1:16" s="57" customFormat="1">
      <c r="A153" s="150"/>
      <c r="B153" s="158">
        <v>7366050938</v>
      </c>
      <c r="C153" s="161" t="s">
        <v>48</v>
      </c>
      <c r="D153" s="294">
        <f t="shared" si="70"/>
        <v>387.09677419354841</v>
      </c>
      <c r="E153" s="294">
        <f t="shared" si="71"/>
        <v>642.85714285714289</v>
      </c>
      <c r="F153" s="294">
        <f t="shared" si="72"/>
        <v>709.67741935483866</v>
      </c>
      <c r="G153" s="294">
        <f t="shared" si="73"/>
        <v>633.33333333333337</v>
      </c>
      <c r="H153" s="294">
        <f t="shared" si="74"/>
        <v>741.93548387096769</v>
      </c>
      <c r="I153" s="294">
        <f t="shared" si="75"/>
        <v>833.33333333333337</v>
      </c>
      <c r="J153" s="294">
        <f t="shared" ref="J153:K153" si="82">(J127*1000)/31</f>
        <v>1225.8064516129032</v>
      </c>
      <c r="K153" s="294">
        <f t="shared" si="82"/>
        <v>2064.516129032258</v>
      </c>
      <c r="L153" s="294">
        <f t="shared" si="77"/>
        <v>1833.3333333333333</v>
      </c>
      <c r="M153" s="294">
        <f t="shared" si="78"/>
        <v>1645.1612903225807</v>
      </c>
      <c r="N153" s="294">
        <f t="shared" si="79"/>
        <v>1133.3333333333333</v>
      </c>
      <c r="O153" s="294">
        <f t="shared" si="80"/>
        <v>967.74193548387098</v>
      </c>
      <c r="P153" s="140"/>
    </row>
    <row r="154" spans="1:16" s="57" customFormat="1">
      <c r="A154" s="150"/>
      <c r="B154" s="158">
        <v>3366050934</v>
      </c>
      <c r="C154" s="161" t="s">
        <v>49</v>
      </c>
      <c r="D154" s="294">
        <f t="shared" si="70"/>
        <v>32.258064516129032</v>
      </c>
      <c r="E154" s="294">
        <f t="shared" si="71"/>
        <v>3678.5714285714284</v>
      </c>
      <c r="F154" s="294">
        <f t="shared" si="72"/>
        <v>6096.7741935483873</v>
      </c>
      <c r="G154" s="294">
        <f t="shared" si="73"/>
        <v>5500</v>
      </c>
      <c r="H154" s="294">
        <f t="shared" si="74"/>
        <v>3870.9677419354839</v>
      </c>
      <c r="I154" s="294">
        <f t="shared" si="75"/>
        <v>1700</v>
      </c>
      <c r="J154" s="294">
        <f t="shared" ref="J154:K154" si="83">(J128*1000)/31</f>
        <v>2709.6774193548385</v>
      </c>
      <c r="K154" s="294">
        <f t="shared" si="83"/>
        <v>1935.483870967742</v>
      </c>
      <c r="L154" s="294">
        <f t="shared" si="77"/>
        <v>3666.6666666666665</v>
      </c>
      <c r="M154" s="294">
        <f t="shared" si="78"/>
        <v>4419.3548387096771</v>
      </c>
      <c r="N154" s="294">
        <f t="shared" si="79"/>
        <v>4233.333333333333</v>
      </c>
      <c r="O154" s="294">
        <f t="shared" si="80"/>
        <v>3935.483870967742</v>
      </c>
    </row>
    <row r="155" spans="1:16" s="57" customFormat="1">
      <c r="A155" s="150"/>
      <c r="B155" s="159">
        <v>5581150299</v>
      </c>
      <c r="C155" s="161" t="s">
        <v>50</v>
      </c>
      <c r="D155" s="294">
        <f t="shared" si="70"/>
        <v>1258.0645161290322</v>
      </c>
      <c r="E155" s="294">
        <f t="shared" si="71"/>
        <v>4607.1428571428569</v>
      </c>
      <c r="F155" s="294">
        <f t="shared" si="72"/>
        <v>4612.9032258064517</v>
      </c>
      <c r="G155" s="294">
        <f t="shared" si="73"/>
        <v>4533.333333333333</v>
      </c>
      <c r="H155" s="294">
        <f t="shared" si="74"/>
        <v>3354.8387096774195</v>
      </c>
      <c r="I155" s="294">
        <f t="shared" si="75"/>
        <v>633.33333333333337</v>
      </c>
      <c r="J155" s="294">
        <f t="shared" ref="J155:K155" si="84">(J129*1000)/31</f>
        <v>3258.0645161290322</v>
      </c>
      <c r="K155" s="294">
        <f t="shared" si="84"/>
        <v>5903.2258064516127</v>
      </c>
      <c r="L155" s="294">
        <f t="shared" si="77"/>
        <v>6966.666666666667</v>
      </c>
      <c r="M155" s="294">
        <f t="shared" si="78"/>
        <v>10451.612903225807</v>
      </c>
      <c r="N155" s="294">
        <f t="shared" si="79"/>
        <v>10533.333333333334</v>
      </c>
      <c r="O155" s="294">
        <f t="shared" si="80"/>
        <v>10483.870967741936</v>
      </c>
    </row>
    <row r="156" spans="1:16" s="57" customFormat="1">
      <c r="A156" s="150"/>
      <c r="B156" s="159">
        <v>5366050936</v>
      </c>
      <c r="C156" s="161" t="s">
        <v>51</v>
      </c>
      <c r="D156" s="294">
        <f t="shared" si="70"/>
        <v>0</v>
      </c>
      <c r="E156" s="294">
        <f t="shared" si="71"/>
        <v>928.57142857142856</v>
      </c>
      <c r="F156" s="294">
        <f t="shared" si="72"/>
        <v>935.48387096774195</v>
      </c>
      <c r="G156" s="294">
        <f t="shared" si="73"/>
        <v>1033.3333333333333</v>
      </c>
      <c r="H156" s="294">
        <f t="shared" si="74"/>
        <v>741.93548387096769</v>
      </c>
      <c r="I156" s="294">
        <f t="shared" si="75"/>
        <v>300</v>
      </c>
      <c r="J156" s="294">
        <f t="shared" ref="J156:K156" si="85">(J130*1000)/31</f>
        <v>290.32258064516128</v>
      </c>
      <c r="K156" s="294">
        <f t="shared" si="85"/>
        <v>387.09677419354841</v>
      </c>
      <c r="L156" s="294">
        <f t="shared" si="77"/>
        <v>666.66666666666663</v>
      </c>
      <c r="M156" s="294">
        <f t="shared" si="78"/>
        <v>1322.5806451612902</v>
      </c>
      <c r="N156" s="294">
        <f t="shared" si="79"/>
        <v>1033.3333333333333</v>
      </c>
      <c r="O156" s="294">
        <f t="shared" si="80"/>
        <v>838.70967741935488</v>
      </c>
    </row>
    <row r="157" spans="1:16" s="57" customFormat="1">
      <c r="A157" s="140"/>
      <c r="B157" s="159">
        <v>2052150585</v>
      </c>
      <c r="C157" s="161" t="s">
        <v>52</v>
      </c>
      <c r="D157" s="294">
        <f t="shared" si="70"/>
        <v>1193.5483870967741</v>
      </c>
      <c r="E157" s="294">
        <f t="shared" si="71"/>
        <v>5642.8571428571431</v>
      </c>
      <c r="F157" s="294">
        <f t="shared" si="72"/>
        <v>5677.4193548387093</v>
      </c>
      <c r="G157" s="294">
        <f t="shared" si="73"/>
        <v>6333.333333333333</v>
      </c>
      <c r="H157" s="294">
        <f t="shared" si="74"/>
        <v>4870.9677419354839</v>
      </c>
      <c r="I157" s="294">
        <f t="shared" si="75"/>
        <v>5400</v>
      </c>
      <c r="J157" s="294">
        <f t="shared" ref="J157:K157" si="86">(J131*1000)/31</f>
        <v>8806.4516129032254</v>
      </c>
      <c r="K157" s="294">
        <f t="shared" si="86"/>
        <v>10161.290322580646</v>
      </c>
      <c r="L157" s="294">
        <f t="shared" si="77"/>
        <v>18600</v>
      </c>
      <c r="M157" s="294">
        <f t="shared" si="78"/>
        <v>14645.161290322581</v>
      </c>
      <c r="N157" s="294">
        <f t="shared" si="79"/>
        <v>8300</v>
      </c>
      <c r="O157" s="294">
        <f t="shared" si="80"/>
        <v>6096.7741935483873</v>
      </c>
    </row>
    <row r="158" spans="1:16" s="57" customFormat="1">
      <c r="A158" s="150"/>
      <c r="B158" s="159">
        <v>8635150066</v>
      </c>
      <c r="C158" s="161" t="s">
        <v>53</v>
      </c>
      <c r="D158" s="294">
        <f t="shared" si="70"/>
        <v>96.774193548387103</v>
      </c>
      <c r="E158" s="294">
        <f t="shared" si="71"/>
        <v>107.14285714285714</v>
      </c>
      <c r="F158" s="294">
        <f t="shared" si="72"/>
        <v>96.774193548387103</v>
      </c>
      <c r="G158" s="294">
        <f t="shared" si="73"/>
        <v>100</v>
      </c>
      <c r="H158" s="294">
        <f t="shared" si="74"/>
        <v>1000</v>
      </c>
      <c r="I158" s="294">
        <f t="shared" si="75"/>
        <v>466.66666666666669</v>
      </c>
      <c r="J158" s="294">
        <f t="shared" ref="J158:K158" si="87">(J132*1000)/31</f>
        <v>3967.7419354838707</v>
      </c>
      <c r="K158" s="294">
        <f t="shared" si="87"/>
        <v>290.32258064516128</v>
      </c>
      <c r="L158" s="294">
        <f t="shared" si="77"/>
        <v>566.66666666666663</v>
      </c>
      <c r="M158" s="294">
        <f t="shared" si="78"/>
        <v>612.90322580645159</v>
      </c>
      <c r="N158" s="294">
        <f t="shared" si="79"/>
        <v>1000</v>
      </c>
      <c r="O158" s="294">
        <f t="shared" si="80"/>
        <v>870.9677419354839</v>
      </c>
    </row>
    <row r="159" spans="1:16" s="57" customFormat="1">
      <c r="A159" s="150"/>
      <c r="B159" s="160">
        <v>6663150208</v>
      </c>
      <c r="C159" s="161" t="s">
        <v>54</v>
      </c>
      <c r="D159" s="294">
        <f t="shared" si="70"/>
        <v>967.74193548387098</v>
      </c>
      <c r="E159" s="294">
        <f t="shared" si="71"/>
        <v>571.42857142857144</v>
      </c>
      <c r="F159" s="294">
        <f t="shared" si="72"/>
        <v>580.64516129032256</v>
      </c>
      <c r="G159" s="294">
        <f t="shared" si="73"/>
        <v>566.66666666666663</v>
      </c>
      <c r="H159" s="294">
        <f t="shared" si="74"/>
        <v>612.90322580645159</v>
      </c>
      <c r="I159" s="294">
        <f t="shared" si="75"/>
        <v>400</v>
      </c>
      <c r="J159" s="294">
        <f t="shared" ref="J159:K159" si="88">(J133*1000)/31</f>
        <v>387.09677419354841</v>
      </c>
      <c r="K159" s="294">
        <f t="shared" si="88"/>
        <v>387.09677419354841</v>
      </c>
      <c r="L159" s="294">
        <f t="shared" si="77"/>
        <v>566.66666666666663</v>
      </c>
      <c r="M159" s="294">
        <f t="shared" si="78"/>
        <v>677.41935483870964</v>
      </c>
      <c r="N159" s="294">
        <f t="shared" si="79"/>
        <v>733.33333333333337</v>
      </c>
      <c r="O159" s="294">
        <f t="shared" si="80"/>
        <v>709.67741935483866</v>
      </c>
    </row>
    <row r="160" spans="1:16" s="57" customFormat="1">
      <c r="A160" s="150"/>
      <c r="B160" s="159">
        <v>6068150813</v>
      </c>
      <c r="C160" s="161" t="s">
        <v>55</v>
      </c>
      <c r="D160" s="294">
        <f t="shared" si="70"/>
        <v>64.516129032258064</v>
      </c>
      <c r="E160" s="294">
        <f t="shared" si="71"/>
        <v>250</v>
      </c>
      <c r="F160" s="294">
        <f t="shared" si="72"/>
        <v>258.06451612903226</v>
      </c>
      <c r="G160" s="294">
        <f t="shared" si="73"/>
        <v>266.66666666666669</v>
      </c>
      <c r="H160" s="294">
        <f t="shared" si="74"/>
        <v>225.80645161290323</v>
      </c>
      <c r="I160" s="294">
        <f t="shared" si="75"/>
        <v>433.33333333333331</v>
      </c>
      <c r="J160" s="294">
        <f t="shared" ref="J160:K160" si="89">(J134*1000)/31</f>
        <v>741.93548387096769</v>
      </c>
      <c r="K160" s="294">
        <f t="shared" si="89"/>
        <v>451.61290322580646</v>
      </c>
      <c r="L160" s="294">
        <f t="shared" si="77"/>
        <v>1233.3333333333333</v>
      </c>
      <c r="M160" s="294">
        <f t="shared" si="78"/>
        <v>2516.1290322580644</v>
      </c>
      <c r="N160" s="294">
        <f t="shared" si="79"/>
        <v>1000</v>
      </c>
      <c r="O160" s="294">
        <f t="shared" si="80"/>
        <v>677.41935483870964</v>
      </c>
    </row>
    <row r="161" spans="1:16" s="57" customFormat="1">
      <c r="A161" s="150"/>
      <c r="B161" s="160">
        <v>5068150812</v>
      </c>
      <c r="C161" s="161" t="s">
        <v>56</v>
      </c>
      <c r="D161" s="294">
        <f t="shared" si="70"/>
        <v>64.516129032258064</v>
      </c>
      <c r="E161" s="294">
        <f t="shared" si="71"/>
        <v>142.85714285714286</v>
      </c>
      <c r="F161" s="294">
        <f t="shared" si="72"/>
        <v>193.54838709677421</v>
      </c>
      <c r="G161" s="294">
        <f t="shared" si="73"/>
        <v>166.66666666666666</v>
      </c>
      <c r="H161" s="294">
        <f t="shared" si="74"/>
        <v>193.54838709677421</v>
      </c>
      <c r="I161" s="294">
        <f t="shared" si="75"/>
        <v>66.666666666666671</v>
      </c>
      <c r="J161" s="294">
        <f t="shared" ref="J161:K161" si="90">(J135*1000)/31</f>
        <v>64.516129032258064</v>
      </c>
      <c r="K161" s="294">
        <f t="shared" si="90"/>
        <v>64.516129032258064</v>
      </c>
      <c r="L161" s="294">
        <f t="shared" si="77"/>
        <v>166.66666666666666</v>
      </c>
      <c r="M161" s="294">
        <f t="shared" si="78"/>
        <v>225.80645161290323</v>
      </c>
      <c r="N161" s="294">
        <f t="shared" si="79"/>
        <v>333.33333333333331</v>
      </c>
      <c r="O161" s="294">
        <f t="shared" si="80"/>
        <v>225.80645161290323</v>
      </c>
    </row>
    <row r="162" spans="1:16" s="57" customFormat="1">
      <c r="A162" s="150"/>
      <c r="B162" s="160">
        <v>2364150700</v>
      </c>
      <c r="C162" s="161" t="s">
        <v>57</v>
      </c>
      <c r="D162" s="294">
        <f t="shared" si="70"/>
        <v>1096.7741935483871</v>
      </c>
      <c r="E162" s="294">
        <f t="shared" si="71"/>
        <v>1178.5714285714287</v>
      </c>
      <c r="F162" s="294">
        <f t="shared" si="72"/>
        <v>1064.516129032258</v>
      </c>
      <c r="G162" s="294">
        <f t="shared" si="73"/>
        <v>866.66666666666663</v>
      </c>
      <c r="H162" s="294">
        <f t="shared" si="74"/>
        <v>1483.8709677419354</v>
      </c>
      <c r="I162" s="294">
        <f t="shared" si="75"/>
        <v>766.66666666666663</v>
      </c>
      <c r="J162" s="294">
        <f t="shared" ref="J162:K162" si="91">(J136*1000)/31</f>
        <v>1290.3225806451612</v>
      </c>
      <c r="K162" s="294">
        <f t="shared" si="91"/>
        <v>1322.5806451612902</v>
      </c>
      <c r="L162" s="294">
        <f t="shared" si="77"/>
        <v>2066.6666666666665</v>
      </c>
      <c r="M162" s="294">
        <f t="shared" si="78"/>
        <v>1838.7096774193549</v>
      </c>
      <c r="N162" s="294">
        <f t="shared" si="79"/>
        <v>1433.3333333333333</v>
      </c>
      <c r="O162" s="294">
        <f t="shared" si="80"/>
        <v>1548.3870967741937</v>
      </c>
    </row>
    <row r="163" spans="1:16" s="57" customFormat="1">
      <c r="A163" s="150"/>
      <c r="B163" s="160">
        <v>1364150699</v>
      </c>
      <c r="C163" s="161" t="s">
        <v>58</v>
      </c>
      <c r="D163" s="294">
        <f t="shared" si="70"/>
        <v>548.38709677419354</v>
      </c>
      <c r="E163" s="294">
        <f t="shared" si="71"/>
        <v>892.85714285714289</v>
      </c>
      <c r="F163" s="294">
        <f t="shared" si="72"/>
        <v>903.22580645161293</v>
      </c>
      <c r="G163" s="294">
        <f t="shared" si="73"/>
        <v>866.66666666666663</v>
      </c>
      <c r="H163" s="294">
        <f t="shared" si="74"/>
        <v>677.41935483870964</v>
      </c>
      <c r="I163" s="294">
        <f t="shared" si="75"/>
        <v>3133.3333333333335</v>
      </c>
      <c r="J163" s="294">
        <f t="shared" ref="J163:K163" si="92">(J137*1000)/31</f>
        <v>4354.8387096774195</v>
      </c>
      <c r="K163" s="294">
        <f t="shared" si="92"/>
        <v>5387.0967741935483</v>
      </c>
      <c r="L163" s="294">
        <f t="shared" si="77"/>
        <v>10900</v>
      </c>
      <c r="M163" s="294">
        <f t="shared" si="78"/>
        <v>6129.0322580645161</v>
      </c>
      <c r="N163" s="294">
        <f t="shared" si="79"/>
        <v>2766.6666666666665</v>
      </c>
      <c r="O163" s="294">
        <f t="shared" si="80"/>
        <v>1806.4516129032259</v>
      </c>
    </row>
    <row r="164" spans="1:16" s="57" customFormat="1">
      <c r="A164" s="150"/>
      <c r="B164" s="159">
        <v>2068150809</v>
      </c>
      <c r="C164" s="161" t="s">
        <v>59</v>
      </c>
      <c r="D164" s="294">
        <f t="shared" si="70"/>
        <v>0</v>
      </c>
      <c r="E164" s="294">
        <f t="shared" si="71"/>
        <v>0</v>
      </c>
      <c r="F164" s="294">
        <f t="shared" si="72"/>
        <v>32.258064516129032</v>
      </c>
      <c r="G164" s="294">
        <f t="shared" si="73"/>
        <v>33.333333333333336</v>
      </c>
      <c r="H164" s="294">
        <f t="shared" si="74"/>
        <v>64.516129032258064</v>
      </c>
      <c r="I164" s="294">
        <f t="shared" si="75"/>
        <v>0</v>
      </c>
      <c r="J164" s="294">
        <f t="shared" ref="J164:K164" si="93">(J138*1000)/31</f>
        <v>32.258064516129032</v>
      </c>
      <c r="K164" s="294">
        <f t="shared" si="93"/>
        <v>32.258064516129032</v>
      </c>
      <c r="L164" s="294">
        <f t="shared" si="77"/>
        <v>0</v>
      </c>
      <c r="M164" s="294">
        <f t="shared" si="78"/>
        <v>32.258064516129032</v>
      </c>
      <c r="N164" s="294">
        <f t="shared" si="79"/>
        <v>33.333333333333336</v>
      </c>
      <c r="O164" s="294">
        <f t="shared" si="80"/>
        <v>32.258064516129032</v>
      </c>
    </row>
    <row r="165" spans="1:16" s="57" customFormat="1">
      <c r="A165" s="150"/>
      <c r="B165" s="159">
        <v>5756250297</v>
      </c>
      <c r="C165" s="161" t="s">
        <v>60</v>
      </c>
      <c r="D165" s="294">
        <f t="shared" si="70"/>
        <v>4354.8387096774195</v>
      </c>
      <c r="E165" s="294">
        <f t="shared" si="71"/>
        <v>35.714285714285715</v>
      </c>
      <c r="F165" s="294">
        <f t="shared" si="72"/>
        <v>64.516129032258064</v>
      </c>
      <c r="G165" s="294">
        <f t="shared" si="73"/>
        <v>66.666666666666671</v>
      </c>
      <c r="H165" s="294">
        <f t="shared" si="74"/>
        <v>1290.3225806451612</v>
      </c>
      <c r="I165" s="294">
        <f t="shared" si="75"/>
        <v>8233.3333333333339</v>
      </c>
      <c r="J165" s="294">
        <f t="shared" ref="J165:K165" si="94">(J139*1000)/31</f>
        <v>11612.903225806451</v>
      </c>
      <c r="K165" s="294">
        <f t="shared" si="94"/>
        <v>13096.774193548386</v>
      </c>
      <c r="L165" s="294">
        <f t="shared" si="77"/>
        <v>20500</v>
      </c>
      <c r="M165" s="294">
        <f t="shared" si="78"/>
        <v>21741.935483870966</v>
      </c>
      <c r="N165" s="294">
        <f t="shared" si="79"/>
        <v>15200</v>
      </c>
      <c r="O165" s="294">
        <f t="shared" si="80"/>
        <v>14322.58064516129</v>
      </c>
    </row>
    <row r="166" spans="1:16" s="57" customFormat="1">
      <c r="A166" s="150"/>
      <c r="B166" s="160">
        <v>1665911804</v>
      </c>
      <c r="C166" s="161" t="s">
        <v>61</v>
      </c>
      <c r="D166" s="294">
        <f t="shared" si="70"/>
        <v>96.774193548387103</v>
      </c>
      <c r="E166" s="294">
        <f t="shared" si="71"/>
        <v>678.57142857142856</v>
      </c>
      <c r="F166" s="294">
        <f t="shared" si="72"/>
        <v>96.774193548387103</v>
      </c>
      <c r="G166" s="294">
        <f t="shared" si="73"/>
        <v>300</v>
      </c>
      <c r="H166" s="294">
        <f t="shared" si="74"/>
        <v>161.29032258064515</v>
      </c>
      <c r="I166" s="294">
        <f t="shared" si="75"/>
        <v>100</v>
      </c>
      <c r="J166" s="294">
        <f t="shared" ref="J166:K166" si="95">(J140*1000)/31</f>
        <v>129.03225806451613</v>
      </c>
      <c r="K166" s="294">
        <f t="shared" si="95"/>
        <v>161.29032258064515</v>
      </c>
      <c r="L166" s="294">
        <f t="shared" si="77"/>
        <v>200</v>
      </c>
      <c r="M166" s="294">
        <f t="shared" si="78"/>
        <v>193.54838709677421</v>
      </c>
      <c r="N166" s="294">
        <f t="shared" si="79"/>
        <v>466.66666666666669</v>
      </c>
      <c r="O166" s="294">
        <f t="shared" si="80"/>
        <v>354.83870967741933</v>
      </c>
    </row>
    <row r="167" spans="1:16" s="57" customFormat="1">
      <c r="A167" s="150"/>
      <c r="B167" s="160">
        <v>3054467971</v>
      </c>
      <c r="C167" s="161" t="s">
        <v>62</v>
      </c>
      <c r="D167" s="294">
        <f t="shared" si="70"/>
        <v>161.29032258064515</v>
      </c>
      <c r="E167" s="294">
        <f t="shared" si="71"/>
        <v>357.14285714285717</v>
      </c>
      <c r="F167" s="294">
        <f t="shared" si="72"/>
        <v>419.35483870967744</v>
      </c>
      <c r="G167" s="294">
        <f t="shared" si="73"/>
        <v>433.33333333333331</v>
      </c>
      <c r="H167" s="294">
        <f t="shared" si="74"/>
        <v>451.61290322580646</v>
      </c>
      <c r="I167" s="294">
        <f t="shared" si="75"/>
        <v>366.66666666666669</v>
      </c>
      <c r="J167" s="294">
        <f t="shared" ref="J167:K167" si="96">(J141*1000)/31</f>
        <v>419.35483870967744</v>
      </c>
      <c r="K167" s="294">
        <f t="shared" si="96"/>
        <v>483.87096774193549</v>
      </c>
      <c r="L167" s="294">
        <f t="shared" si="77"/>
        <v>700</v>
      </c>
      <c r="M167" s="294">
        <f t="shared" si="78"/>
        <v>774.19354838709683</v>
      </c>
      <c r="N167" s="294">
        <f t="shared" si="79"/>
        <v>1400</v>
      </c>
      <c r="O167" s="294">
        <f t="shared" si="80"/>
        <v>709.67741935483866</v>
      </c>
    </row>
    <row r="168" spans="1:16" s="57" customFormat="1">
      <c r="A168" s="150"/>
      <c r="B168" s="160">
        <v>3380811569</v>
      </c>
      <c r="C168" s="161" t="s">
        <v>63</v>
      </c>
      <c r="D168" s="294">
        <f t="shared" si="70"/>
        <v>0</v>
      </c>
      <c r="E168" s="294">
        <f t="shared" si="71"/>
        <v>0</v>
      </c>
      <c r="F168" s="294">
        <f t="shared" si="72"/>
        <v>0</v>
      </c>
      <c r="G168" s="294">
        <f t="shared" si="73"/>
        <v>0</v>
      </c>
      <c r="H168" s="294">
        <f t="shared" si="74"/>
        <v>0</v>
      </c>
      <c r="I168" s="294">
        <f t="shared" si="75"/>
        <v>0</v>
      </c>
      <c r="J168" s="294">
        <f t="shared" ref="J168:K168" si="97">(J142*1000)/31</f>
        <v>32.258064516129032</v>
      </c>
      <c r="K168" s="294">
        <f t="shared" si="97"/>
        <v>0</v>
      </c>
      <c r="L168" s="294">
        <f t="shared" si="77"/>
        <v>0</v>
      </c>
      <c r="M168" s="294">
        <f t="shared" si="78"/>
        <v>0</v>
      </c>
      <c r="N168" s="294">
        <f t="shared" si="79"/>
        <v>0</v>
      </c>
      <c r="O168" s="294">
        <f t="shared" si="80"/>
        <v>0</v>
      </c>
    </row>
    <row r="169" spans="1:16" s="57" customFormat="1">
      <c r="D169" s="151">
        <f>SUM(D150:D168)</f>
        <v>10838.709677419356</v>
      </c>
      <c r="E169" s="205">
        <f t="shared" ref="E169:O169" si="98">SUM(E150:E168)</f>
        <v>22892.857142857141</v>
      </c>
      <c r="F169" s="205">
        <f t="shared" si="98"/>
        <v>24322.580645161288</v>
      </c>
      <c r="G169" s="205">
        <f t="shared" si="98"/>
        <v>24566.666666666672</v>
      </c>
      <c r="H169" s="205">
        <f t="shared" si="98"/>
        <v>23774.193548387091</v>
      </c>
      <c r="I169" s="205">
        <f t="shared" si="98"/>
        <v>26933.333333333332</v>
      </c>
      <c r="J169" s="205">
        <f t="shared" si="98"/>
        <v>40548.38709677419</v>
      </c>
      <c r="K169" s="205">
        <f t="shared" si="98"/>
        <v>42709.677419354834</v>
      </c>
      <c r="L169" s="205">
        <f t="shared" si="98"/>
        <v>73266.666666666657</v>
      </c>
      <c r="M169" s="205">
        <f t="shared" si="98"/>
        <v>71129.032258064515</v>
      </c>
      <c r="N169" s="205">
        <f t="shared" si="98"/>
        <v>53999.999999999993</v>
      </c>
      <c r="O169" s="205">
        <f t="shared" si="98"/>
        <v>46419.354838709674</v>
      </c>
    </row>
    <row r="170" spans="1:16" s="57" customFormat="1"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</row>
    <row r="171" spans="1:16" s="57" customFormat="1">
      <c r="A171" s="79"/>
      <c r="B171" s="79"/>
      <c r="C171" s="79"/>
      <c r="D171" s="79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9"/>
    </row>
    <row r="172" spans="1:16" s="57" customFormat="1">
      <c r="A172" s="175" t="s">
        <v>72</v>
      </c>
      <c r="B172" s="167">
        <v>2022</v>
      </c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</row>
    <row r="173" spans="1:16" s="57" customFormat="1" ht="15.75" thickBot="1">
      <c r="A173" s="168" t="s">
        <v>30</v>
      </c>
      <c r="B173" s="169" t="s">
        <v>31</v>
      </c>
      <c r="C173" s="169" t="s">
        <v>32</v>
      </c>
      <c r="D173" s="169" t="s">
        <v>33</v>
      </c>
      <c r="E173" s="169" t="s">
        <v>34</v>
      </c>
      <c r="F173" s="169" t="s">
        <v>35</v>
      </c>
      <c r="G173" s="169" t="s">
        <v>36</v>
      </c>
      <c r="H173" s="169" t="s">
        <v>37</v>
      </c>
      <c r="I173" s="169" t="s">
        <v>38</v>
      </c>
      <c r="J173" s="169" t="s">
        <v>39</v>
      </c>
      <c r="K173" s="169" t="s">
        <v>40</v>
      </c>
      <c r="L173" s="169" t="s">
        <v>41</v>
      </c>
      <c r="M173" s="169" t="s">
        <v>42</v>
      </c>
      <c r="N173" s="169" t="s">
        <v>43</v>
      </c>
      <c r="O173" s="169" t="s">
        <v>44</v>
      </c>
      <c r="P173" s="170" t="s">
        <v>100</v>
      </c>
    </row>
    <row r="174" spans="1:16" s="57" customFormat="1">
      <c r="A174" s="166"/>
      <c r="B174" s="171">
        <v>7534810685</v>
      </c>
      <c r="C174" s="191" t="s">
        <v>45</v>
      </c>
      <c r="D174" s="174">
        <v>15</v>
      </c>
      <c r="E174" s="174">
        <v>15</v>
      </c>
      <c r="F174" s="174">
        <v>16</v>
      </c>
      <c r="G174" s="174">
        <v>17</v>
      </c>
      <c r="H174" s="174">
        <v>18</v>
      </c>
      <c r="I174" s="174">
        <v>10</v>
      </c>
      <c r="J174" s="174">
        <v>21</v>
      </c>
      <c r="K174" s="174">
        <v>19</v>
      </c>
      <c r="L174" s="174">
        <v>16</v>
      </c>
      <c r="M174" s="174">
        <v>13</v>
      </c>
      <c r="N174" s="174">
        <v>15</v>
      </c>
      <c r="O174" s="174">
        <v>18</v>
      </c>
      <c r="P174" s="190">
        <f>SUM(D174:O174)</f>
        <v>193</v>
      </c>
    </row>
    <row r="175" spans="1:16" s="57" customFormat="1">
      <c r="A175" s="166"/>
      <c r="B175" s="171">
        <v>4366050935</v>
      </c>
      <c r="C175" s="191" t="s">
        <v>46</v>
      </c>
      <c r="D175" s="174">
        <v>9</v>
      </c>
      <c r="E175" s="174">
        <v>69</v>
      </c>
      <c r="F175" s="174">
        <v>63</v>
      </c>
      <c r="G175" s="174">
        <v>77</v>
      </c>
      <c r="H175" s="174">
        <v>28</v>
      </c>
      <c r="I175" s="174">
        <v>2</v>
      </c>
      <c r="J175" s="174">
        <v>1</v>
      </c>
      <c r="K175" s="174">
        <v>3</v>
      </c>
      <c r="L175" s="174">
        <v>31</v>
      </c>
      <c r="M175" s="174">
        <v>43</v>
      </c>
      <c r="N175" s="174">
        <v>42</v>
      </c>
      <c r="O175" s="174">
        <v>41</v>
      </c>
      <c r="P175" s="190">
        <f t="shared" ref="P175:P192" si="99">SUM(D175:O175)</f>
        <v>409</v>
      </c>
    </row>
    <row r="176" spans="1:16" s="57" customFormat="1">
      <c r="A176" s="166"/>
      <c r="B176" s="171">
        <v>6366050937</v>
      </c>
      <c r="C176" s="191" t="s">
        <v>47</v>
      </c>
      <c r="D176" s="174">
        <v>9</v>
      </c>
      <c r="E176" s="174">
        <v>20</v>
      </c>
      <c r="F176" s="174">
        <v>17</v>
      </c>
      <c r="G176" s="174">
        <v>24</v>
      </c>
      <c r="H176" s="174">
        <v>15</v>
      </c>
      <c r="I176" s="174">
        <v>12</v>
      </c>
      <c r="J176" s="174">
        <v>11</v>
      </c>
      <c r="K176" s="174">
        <v>9</v>
      </c>
      <c r="L176" s="174">
        <v>19</v>
      </c>
      <c r="M176" s="174">
        <v>19</v>
      </c>
      <c r="N176" s="174">
        <v>24</v>
      </c>
      <c r="O176" s="174">
        <v>20</v>
      </c>
      <c r="P176" s="190">
        <f t="shared" si="99"/>
        <v>199</v>
      </c>
    </row>
    <row r="177" spans="1:16" s="57" customFormat="1">
      <c r="A177" s="166"/>
      <c r="B177" s="171">
        <v>7366050938</v>
      </c>
      <c r="C177" s="191" t="s">
        <v>48</v>
      </c>
      <c r="D177" s="174">
        <v>20</v>
      </c>
      <c r="E177" s="174">
        <v>32</v>
      </c>
      <c r="F177" s="174">
        <v>31</v>
      </c>
      <c r="G177" s="174">
        <v>33</v>
      </c>
      <c r="H177" s="174">
        <v>28</v>
      </c>
      <c r="I177" s="174">
        <v>41</v>
      </c>
      <c r="J177" s="174">
        <v>46</v>
      </c>
      <c r="K177" s="174">
        <v>48</v>
      </c>
      <c r="L177" s="174">
        <v>51</v>
      </c>
      <c r="M177" s="174">
        <v>52</v>
      </c>
      <c r="N177" s="174">
        <v>48</v>
      </c>
      <c r="O177" s="174">
        <v>48</v>
      </c>
      <c r="P177" s="190">
        <f t="shared" si="99"/>
        <v>478</v>
      </c>
    </row>
    <row r="178" spans="1:16" s="57" customFormat="1">
      <c r="A178" s="166"/>
      <c r="B178" s="171">
        <v>3366050934</v>
      </c>
      <c r="C178" s="191" t="s">
        <v>49</v>
      </c>
      <c r="D178" s="174">
        <v>24</v>
      </c>
      <c r="E178" s="174">
        <v>151</v>
      </c>
      <c r="F178" s="174">
        <v>135</v>
      </c>
      <c r="G178" s="174">
        <v>140</v>
      </c>
      <c r="H178" s="174">
        <v>71</v>
      </c>
      <c r="I178" s="174">
        <v>35</v>
      </c>
      <c r="J178" s="174">
        <v>14</v>
      </c>
      <c r="K178" s="174">
        <v>54</v>
      </c>
      <c r="L178" s="174">
        <v>130</v>
      </c>
      <c r="M178" s="174">
        <v>176</v>
      </c>
      <c r="N178" s="174">
        <v>160</v>
      </c>
      <c r="O178" s="174">
        <v>179</v>
      </c>
      <c r="P178" s="190">
        <f t="shared" si="99"/>
        <v>1269</v>
      </c>
    </row>
    <row r="179" spans="1:16" s="57" customFormat="1">
      <c r="A179" s="166"/>
      <c r="B179" s="171">
        <v>5581150299</v>
      </c>
      <c r="C179" s="191" t="s">
        <v>50</v>
      </c>
      <c r="D179" s="174">
        <v>269</v>
      </c>
      <c r="E179" s="174">
        <v>309</v>
      </c>
      <c r="F179" s="174">
        <v>297</v>
      </c>
      <c r="G179" s="174">
        <v>343</v>
      </c>
      <c r="H179" s="174">
        <v>269</v>
      </c>
      <c r="I179" s="174">
        <v>49</v>
      </c>
      <c r="J179" s="174">
        <v>103</v>
      </c>
      <c r="K179" s="174">
        <v>108</v>
      </c>
      <c r="L179" s="174">
        <v>161</v>
      </c>
      <c r="M179" s="174">
        <v>122</v>
      </c>
      <c r="N179" s="174">
        <v>126</v>
      </c>
      <c r="O179" s="174">
        <v>127</v>
      </c>
      <c r="P179" s="190">
        <f t="shared" si="99"/>
        <v>2283</v>
      </c>
    </row>
    <row r="180" spans="1:16" s="57" customFormat="1">
      <c r="A180" s="166"/>
      <c r="B180" s="171">
        <v>5366050936</v>
      </c>
      <c r="C180" s="191" t="s">
        <v>51</v>
      </c>
      <c r="D180" s="174">
        <v>20</v>
      </c>
      <c r="E180" s="174">
        <v>25</v>
      </c>
      <c r="F180" s="174">
        <v>23</v>
      </c>
      <c r="G180" s="174">
        <v>28</v>
      </c>
      <c r="H180" s="174">
        <v>19</v>
      </c>
      <c r="I180" s="174">
        <v>8</v>
      </c>
      <c r="J180" s="174">
        <v>9</v>
      </c>
      <c r="K180" s="174">
        <v>29</v>
      </c>
      <c r="L180" s="174">
        <v>188</v>
      </c>
      <c r="M180" s="174">
        <v>125</v>
      </c>
      <c r="N180" s="174">
        <v>40</v>
      </c>
      <c r="O180" s="174">
        <v>179</v>
      </c>
      <c r="P180" s="190">
        <f t="shared" si="99"/>
        <v>693</v>
      </c>
    </row>
    <row r="181" spans="1:16" s="57" customFormat="1">
      <c r="A181" s="166"/>
      <c r="B181" s="171">
        <v>2052150585</v>
      </c>
      <c r="C181" s="191" t="s">
        <v>52</v>
      </c>
      <c r="D181" s="174">
        <v>51</v>
      </c>
      <c r="E181" s="174">
        <v>144</v>
      </c>
      <c r="F181" s="174">
        <v>134</v>
      </c>
      <c r="G181" s="174">
        <v>225</v>
      </c>
      <c r="H181" s="174">
        <v>505</v>
      </c>
      <c r="I181" s="174">
        <v>341</v>
      </c>
      <c r="J181" s="174">
        <v>429</v>
      </c>
      <c r="K181" s="174">
        <v>395</v>
      </c>
      <c r="L181" s="174">
        <v>525</v>
      </c>
      <c r="M181" s="174">
        <v>307</v>
      </c>
      <c r="N181" s="174">
        <v>237</v>
      </c>
      <c r="O181" s="174">
        <v>149</v>
      </c>
      <c r="P181" s="190">
        <f t="shared" si="99"/>
        <v>3442</v>
      </c>
    </row>
    <row r="182" spans="1:16" s="57" customFormat="1">
      <c r="A182" s="166"/>
      <c r="B182" s="171">
        <v>8635150066</v>
      </c>
      <c r="C182" s="191" t="s">
        <v>53</v>
      </c>
      <c r="D182" s="174">
        <v>17</v>
      </c>
      <c r="E182" s="174">
        <v>20</v>
      </c>
      <c r="F182" s="174">
        <v>19</v>
      </c>
      <c r="G182" s="174">
        <v>28</v>
      </c>
      <c r="H182" s="174">
        <v>24</v>
      </c>
      <c r="I182" s="174">
        <v>27</v>
      </c>
      <c r="J182" s="174">
        <v>77</v>
      </c>
      <c r="K182" s="174">
        <v>3</v>
      </c>
      <c r="L182" s="174">
        <v>68</v>
      </c>
      <c r="M182" s="174">
        <v>10</v>
      </c>
      <c r="N182" s="174">
        <v>12</v>
      </c>
      <c r="O182" s="174">
        <v>3</v>
      </c>
      <c r="P182" s="190">
        <f t="shared" si="99"/>
        <v>308</v>
      </c>
    </row>
    <row r="183" spans="1:16" s="57" customFormat="1">
      <c r="A183" s="166"/>
      <c r="B183" s="172">
        <v>6663150208</v>
      </c>
      <c r="C183" s="191" t="s">
        <v>54</v>
      </c>
      <c r="D183" s="174">
        <v>9</v>
      </c>
      <c r="E183" s="174">
        <v>19</v>
      </c>
      <c r="F183" s="174">
        <v>21</v>
      </c>
      <c r="G183" s="174">
        <v>25</v>
      </c>
      <c r="H183" s="174">
        <v>21</v>
      </c>
      <c r="I183" s="174">
        <v>10</v>
      </c>
      <c r="J183" s="174">
        <v>9</v>
      </c>
      <c r="K183" s="174">
        <v>11</v>
      </c>
      <c r="L183" s="174">
        <v>21</v>
      </c>
      <c r="M183" s="174">
        <v>25</v>
      </c>
      <c r="N183" s="174">
        <v>36</v>
      </c>
      <c r="O183" s="174">
        <v>42</v>
      </c>
      <c r="P183" s="190">
        <f t="shared" si="99"/>
        <v>249</v>
      </c>
    </row>
    <row r="184" spans="1:16" s="57" customFormat="1">
      <c r="A184" s="166"/>
      <c r="B184" s="171">
        <v>6068150813</v>
      </c>
      <c r="C184" s="191" t="s">
        <v>55</v>
      </c>
      <c r="D184" s="174">
        <v>6</v>
      </c>
      <c r="E184" s="174">
        <v>17</v>
      </c>
      <c r="F184" s="174">
        <v>16</v>
      </c>
      <c r="G184" s="174">
        <v>40</v>
      </c>
      <c r="H184" s="174">
        <v>231</v>
      </c>
      <c r="I184" s="174">
        <v>127</v>
      </c>
      <c r="J184" s="174">
        <v>264</v>
      </c>
      <c r="K184" s="174">
        <v>228</v>
      </c>
      <c r="L184" s="174">
        <v>267</v>
      </c>
      <c r="M184" s="174">
        <v>128</v>
      </c>
      <c r="N184" s="174">
        <v>80</v>
      </c>
      <c r="O184" s="174">
        <v>21</v>
      </c>
      <c r="P184" s="190">
        <f t="shared" si="99"/>
        <v>1425</v>
      </c>
    </row>
    <row r="185" spans="1:16" s="57" customFormat="1">
      <c r="A185" s="166"/>
      <c r="B185" s="172">
        <v>5068150812</v>
      </c>
      <c r="C185" s="191" t="s">
        <v>56</v>
      </c>
      <c r="D185" s="174">
        <v>1</v>
      </c>
      <c r="E185" s="174">
        <v>7</v>
      </c>
      <c r="F185" s="174">
        <v>6</v>
      </c>
      <c r="G185" s="174">
        <v>10</v>
      </c>
      <c r="H185" s="174">
        <v>6</v>
      </c>
      <c r="I185" s="174">
        <v>4</v>
      </c>
      <c r="J185" s="174">
        <v>3</v>
      </c>
      <c r="K185" s="174">
        <v>5</v>
      </c>
      <c r="L185" s="174">
        <v>7</v>
      </c>
      <c r="M185" s="174">
        <v>10</v>
      </c>
      <c r="N185" s="174">
        <v>11</v>
      </c>
      <c r="O185" s="174">
        <v>9</v>
      </c>
      <c r="P185" s="190">
        <f t="shared" si="99"/>
        <v>79</v>
      </c>
    </row>
    <row r="186" spans="1:16" s="57" customFormat="1">
      <c r="A186" s="166"/>
      <c r="B186" s="172">
        <v>2364150700</v>
      </c>
      <c r="C186" s="191" t="s">
        <v>57</v>
      </c>
      <c r="D186" s="174">
        <v>34</v>
      </c>
      <c r="E186" s="174">
        <v>40</v>
      </c>
      <c r="F186" s="174">
        <v>34</v>
      </c>
      <c r="G186" s="174">
        <v>45</v>
      </c>
      <c r="H186" s="174">
        <v>30</v>
      </c>
      <c r="I186" s="174">
        <v>38</v>
      </c>
      <c r="J186" s="174">
        <v>40</v>
      </c>
      <c r="K186" s="174">
        <v>46</v>
      </c>
      <c r="L186" s="174">
        <v>70</v>
      </c>
      <c r="M186" s="174">
        <v>52</v>
      </c>
      <c r="N186" s="174">
        <v>43</v>
      </c>
      <c r="O186" s="174">
        <v>38</v>
      </c>
      <c r="P186" s="190">
        <f t="shared" si="99"/>
        <v>510</v>
      </c>
    </row>
    <row r="187" spans="1:16" s="57" customFormat="1">
      <c r="A187" s="166"/>
      <c r="B187" s="172">
        <v>1364150699</v>
      </c>
      <c r="C187" s="191" t="s">
        <v>58</v>
      </c>
      <c r="D187" s="174">
        <v>12</v>
      </c>
      <c r="E187" s="174">
        <v>45</v>
      </c>
      <c r="F187" s="174">
        <v>46</v>
      </c>
      <c r="G187" s="174">
        <v>52</v>
      </c>
      <c r="H187" s="174">
        <v>76</v>
      </c>
      <c r="I187" s="174">
        <v>68</v>
      </c>
      <c r="J187" s="174">
        <v>129</v>
      </c>
      <c r="K187" s="174">
        <v>113</v>
      </c>
      <c r="L187" s="174">
        <v>139</v>
      </c>
      <c r="M187" s="174">
        <v>80</v>
      </c>
      <c r="N187" s="174">
        <v>66</v>
      </c>
      <c r="O187" s="174">
        <v>37</v>
      </c>
      <c r="P187" s="190">
        <f t="shared" si="99"/>
        <v>863</v>
      </c>
    </row>
    <row r="188" spans="1:16" s="57" customFormat="1">
      <c r="A188" s="166"/>
      <c r="B188" s="171">
        <v>2068150809</v>
      </c>
      <c r="C188" s="191" t="s">
        <v>59</v>
      </c>
      <c r="D188" s="174">
        <v>0</v>
      </c>
      <c r="E188" s="174">
        <v>1</v>
      </c>
      <c r="F188" s="174">
        <v>1</v>
      </c>
      <c r="G188" s="174">
        <v>1</v>
      </c>
      <c r="H188" s="174">
        <v>1</v>
      </c>
      <c r="I188" s="174">
        <v>1</v>
      </c>
      <c r="J188" s="174">
        <v>1</v>
      </c>
      <c r="K188" s="174">
        <v>1</v>
      </c>
      <c r="L188" s="174">
        <v>1</v>
      </c>
      <c r="M188" s="174">
        <v>1</v>
      </c>
      <c r="N188" s="174">
        <v>1</v>
      </c>
      <c r="O188" s="174">
        <v>0</v>
      </c>
      <c r="P188" s="190">
        <f t="shared" si="99"/>
        <v>10</v>
      </c>
    </row>
    <row r="189" spans="1:16" s="57" customFormat="1">
      <c r="A189" s="166"/>
      <c r="B189" s="171">
        <v>5756250297</v>
      </c>
      <c r="C189" s="191" t="s">
        <v>60</v>
      </c>
      <c r="D189" s="172">
        <v>174</v>
      </c>
      <c r="E189" s="172">
        <v>359</v>
      </c>
      <c r="F189" s="172">
        <v>313</v>
      </c>
      <c r="G189" s="172">
        <v>410</v>
      </c>
      <c r="H189" s="172">
        <v>351</v>
      </c>
      <c r="I189" s="172">
        <v>203</v>
      </c>
      <c r="J189" s="172">
        <v>367</v>
      </c>
      <c r="K189" s="172">
        <v>455</v>
      </c>
      <c r="L189" s="172">
        <v>650</v>
      </c>
      <c r="M189" s="172">
        <v>523</v>
      </c>
      <c r="N189" s="172">
        <v>415</v>
      </c>
      <c r="O189" s="172">
        <v>303</v>
      </c>
      <c r="P189" s="190">
        <f t="shared" si="99"/>
        <v>4523</v>
      </c>
    </row>
    <row r="190" spans="1:16" s="57" customFormat="1">
      <c r="A190" s="166"/>
      <c r="B190" s="172">
        <v>1665911804</v>
      </c>
      <c r="C190" s="191" t="s">
        <v>61</v>
      </c>
      <c r="D190" s="174">
        <v>4</v>
      </c>
      <c r="E190" s="174">
        <v>5</v>
      </c>
      <c r="F190" s="174">
        <v>5</v>
      </c>
      <c r="G190" s="174">
        <v>7</v>
      </c>
      <c r="H190" s="174">
        <v>8</v>
      </c>
      <c r="I190" s="174">
        <v>2</v>
      </c>
      <c r="J190" s="174">
        <v>6</v>
      </c>
      <c r="K190" s="174">
        <v>7</v>
      </c>
      <c r="L190" s="174">
        <v>17</v>
      </c>
      <c r="M190" s="174">
        <v>6</v>
      </c>
      <c r="N190" s="174">
        <v>15</v>
      </c>
      <c r="O190" s="174">
        <v>6</v>
      </c>
      <c r="P190" s="190">
        <f t="shared" si="99"/>
        <v>88</v>
      </c>
    </row>
    <row r="191" spans="1:16" s="57" customFormat="1">
      <c r="A191" s="166"/>
      <c r="B191" s="172">
        <v>3054467971</v>
      </c>
      <c r="C191" s="191" t="s">
        <v>62</v>
      </c>
      <c r="D191" s="174">
        <v>10</v>
      </c>
      <c r="E191" s="174">
        <v>14</v>
      </c>
      <c r="F191" s="174">
        <v>18</v>
      </c>
      <c r="G191" s="174">
        <v>22</v>
      </c>
      <c r="H191" s="174">
        <v>18</v>
      </c>
      <c r="I191" s="174">
        <v>13</v>
      </c>
      <c r="J191" s="174">
        <v>38</v>
      </c>
      <c r="K191" s="174">
        <v>22</v>
      </c>
      <c r="L191" s="174">
        <v>27</v>
      </c>
      <c r="M191" s="174">
        <v>26</v>
      </c>
      <c r="N191" s="174">
        <v>24</v>
      </c>
      <c r="O191" s="174">
        <v>23</v>
      </c>
      <c r="P191" s="190">
        <f t="shared" si="99"/>
        <v>255</v>
      </c>
    </row>
    <row r="192" spans="1:16" s="57" customFormat="1">
      <c r="A192" s="166"/>
      <c r="B192" s="172">
        <v>3380811569</v>
      </c>
      <c r="C192" s="191" t="s">
        <v>63</v>
      </c>
      <c r="D192" s="174">
        <v>0</v>
      </c>
      <c r="E192" s="174">
        <v>0</v>
      </c>
      <c r="F192" s="174">
        <v>0</v>
      </c>
      <c r="G192" s="174">
        <v>1</v>
      </c>
      <c r="H192" s="174">
        <v>0</v>
      </c>
      <c r="I192" s="174">
        <v>0</v>
      </c>
      <c r="J192" s="174">
        <v>1</v>
      </c>
      <c r="K192" s="174">
        <v>0</v>
      </c>
      <c r="L192" s="174">
        <v>1</v>
      </c>
      <c r="M192" s="174">
        <v>0</v>
      </c>
      <c r="N192" s="174">
        <v>1</v>
      </c>
      <c r="O192" s="174">
        <v>1</v>
      </c>
      <c r="P192" s="190">
        <f t="shared" si="99"/>
        <v>5</v>
      </c>
    </row>
    <row r="193" spans="1:16" s="57" customFormat="1">
      <c r="A193" s="166"/>
      <c r="B193" s="166"/>
      <c r="C193" s="166"/>
      <c r="D193" s="189">
        <v>684</v>
      </c>
      <c r="E193" s="189">
        <v>1292</v>
      </c>
      <c r="F193" s="189">
        <v>1195</v>
      </c>
      <c r="G193" s="189">
        <v>1528</v>
      </c>
      <c r="H193" s="189">
        <v>1719</v>
      </c>
      <c r="I193" s="189">
        <v>991</v>
      </c>
      <c r="J193" s="189">
        <v>1569</v>
      </c>
      <c r="K193" s="189">
        <v>1556</v>
      </c>
      <c r="L193" s="189">
        <v>2389</v>
      </c>
      <c r="M193" s="189">
        <v>1718</v>
      </c>
      <c r="N193" s="189">
        <v>1396</v>
      </c>
      <c r="O193" s="189">
        <v>1244</v>
      </c>
      <c r="P193" s="174">
        <f>SUM(P174:P192)</f>
        <v>17281</v>
      </c>
    </row>
    <row r="194" spans="1:16" s="57" customFormat="1"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</row>
    <row r="195" spans="1:16" s="57" customFormat="1">
      <c r="A195" s="166"/>
      <c r="B195" s="166"/>
      <c r="C195" s="173" t="s">
        <v>64</v>
      </c>
      <c r="D195" s="122">
        <f>D193*1000</f>
        <v>684000</v>
      </c>
      <c r="E195" s="122">
        <f t="shared" ref="E195:P195" si="100">E193*1000</f>
        <v>1292000</v>
      </c>
      <c r="F195" s="122">
        <f t="shared" si="100"/>
        <v>1195000</v>
      </c>
      <c r="G195" s="122">
        <f t="shared" si="100"/>
        <v>1528000</v>
      </c>
      <c r="H195" s="122">
        <f t="shared" si="100"/>
        <v>1719000</v>
      </c>
      <c r="I195" s="122">
        <f t="shared" si="100"/>
        <v>991000</v>
      </c>
      <c r="J195" s="122">
        <f t="shared" si="100"/>
        <v>1569000</v>
      </c>
      <c r="K195" s="122">
        <f t="shared" si="100"/>
        <v>1556000</v>
      </c>
      <c r="L195" s="122">
        <f t="shared" si="100"/>
        <v>2389000</v>
      </c>
      <c r="M195" s="122">
        <f t="shared" si="100"/>
        <v>1718000</v>
      </c>
      <c r="N195" s="122">
        <f t="shared" si="100"/>
        <v>1396000</v>
      </c>
      <c r="O195" s="122">
        <f t="shared" si="100"/>
        <v>1244000</v>
      </c>
      <c r="P195" s="122">
        <f t="shared" si="100"/>
        <v>17281000</v>
      </c>
    </row>
    <row r="196" spans="1:16" s="57" customFormat="1"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</row>
    <row r="197" spans="1:16" s="57" customFormat="1"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</row>
    <row r="198" spans="1:16" s="57" customFormat="1">
      <c r="A198" s="188" t="s">
        <v>73</v>
      </c>
      <c r="B198" s="166"/>
      <c r="C198" s="166"/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</row>
    <row r="199" spans="1:16" s="57" customFormat="1" ht="15.75" thickBot="1">
      <c r="A199" s="178" t="s">
        <v>30</v>
      </c>
      <c r="B199" s="179" t="s">
        <v>31</v>
      </c>
      <c r="C199" s="180" t="s">
        <v>32</v>
      </c>
      <c r="D199" s="181" t="s">
        <v>33</v>
      </c>
      <c r="E199" s="182" t="s">
        <v>34</v>
      </c>
      <c r="F199" s="183" t="s">
        <v>35</v>
      </c>
      <c r="G199" s="183" t="s">
        <v>36</v>
      </c>
      <c r="H199" s="183" t="s">
        <v>37</v>
      </c>
      <c r="I199" s="183" t="s">
        <v>38</v>
      </c>
      <c r="J199" s="183" t="s">
        <v>39</v>
      </c>
      <c r="K199" s="183" t="s">
        <v>40</v>
      </c>
      <c r="L199" s="183" t="s">
        <v>41</v>
      </c>
      <c r="M199" s="183" t="s">
        <v>42</v>
      </c>
      <c r="N199" s="183" t="s">
        <v>43</v>
      </c>
      <c r="O199" s="183" t="s">
        <v>44</v>
      </c>
      <c r="P199" s="166"/>
    </row>
    <row r="200" spans="1:16" s="57" customFormat="1">
      <c r="A200" s="176"/>
      <c r="B200" s="184">
        <v>7534810685</v>
      </c>
      <c r="C200" s="187" t="s">
        <v>45</v>
      </c>
      <c r="D200" s="294">
        <f>(D174*1000)/31</f>
        <v>483.87096774193549</v>
      </c>
      <c r="E200" s="294">
        <f>(E174*1000)/28</f>
        <v>535.71428571428567</v>
      </c>
      <c r="F200" s="294">
        <f>(F174*1000)/31</f>
        <v>516.12903225806451</v>
      </c>
      <c r="G200" s="294">
        <f>(G174*1000)/30</f>
        <v>566.66666666666663</v>
      </c>
      <c r="H200" s="294">
        <f>(H174*1000)/31</f>
        <v>580.64516129032256</v>
      </c>
      <c r="I200" s="294">
        <f>(I174*1000)/30</f>
        <v>333.33333333333331</v>
      </c>
      <c r="J200" s="294">
        <f>(J174*1000)/31</f>
        <v>677.41935483870964</v>
      </c>
      <c r="K200" s="294">
        <f>(K174*1000)/31</f>
        <v>612.90322580645159</v>
      </c>
      <c r="L200" s="294">
        <f>(L174*1000)/30</f>
        <v>533.33333333333337</v>
      </c>
      <c r="M200" s="294">
        <f>(M174*1000)/31</f>
        <v>419.35483870967744</v>
      </c>
      <c r="N200" s="294">
        <f>(N174*1000)/30</f>
        <v>500</v>
      </c>
      <c r="O200" s="294">
        <f>(O174*1000)/31</f>
        <v>580.64516129032256</v>
      </c>
      <c r="P200" s="166"/>
    </row>
    <row r="201" spans="1:16" s="57" customFormat="1">
      <c r="A201" s="176"/>
      <c r="B201" s="184">
        <v>4366050935</v>
      </c>
      <c r="C201" s="187" t="s">
        <v>46</v>
      </c>
      <c r="D201" s="294">
        <f t="shared" ref="D201:D218" si="101">(D175*1000)/31</f>
        <v>290.32258064516128</v>
      </c>
      <c r="E201" s="294">
        <f t="shared" ref="E201:E218" si="102">(E175*1000)/28</f>
        <v>2464.2857142857142</v>
      </c>
      <c r="F201" s="294">
        <f t="shared" ref="F201:F218" si="103">(F175*1000)/31</f>
        <v>2032.258064516129</v>
      </c>
      <c r="G201" s="294">
        <f t="shared" ref="G201:G218" si="104">(G175*1000)/30</f>
        <v>2566.6666666666665</v>
      </c>
      <c r="H201" s="294">
        <f t="shared" ref="H201:H218" si="105">(H175*1000)/31</f>
        <v>903.22580645161293</v>
      </c>
      <c r="I201" s="294">
        <f t="shared" ref="I201:I218" si="106">(I175*1000)/30</f>
        <v>66.666666666666671</v>
      </c>
      <c r="J201" s="294">
        <f t="shared" ref="J201:K201" si="107">(J175*1000)/31</f>
        <v>32.258064516129032</v>
      </c>
      <c r="K201" s="294">
        <f t="shared" si="107"/>
        <v>96.774193548387103</v>
      </c>
      <c r="L201" s="294">
        <f t="shared" ref="L201:L218" si="108">(L175*1000)/30</f>
        <v>1033.3333333333333</v>
      </c>
      <c r="M201" s="294">
        <f t="shared" ref="M201:M218" si="109">(M175*1000)/31</f>
        <v>1387.0967741935483</v>
      </c>
      <c r="N201" s="294">
        <f t="shared" ref="N201:N218" si="110">(N175*1000)/30</f>
        <v>1400</v>
      </c>
      <c r="O201" s="294">
        <f t="shared" ref="O201:O218" si="111">(O175*1000)/31</f>
        <v>1322.5806451612902</v>
      </c>
      <c r="P201" s="166"/>
    </row>
    <row r="202" spans="1:16" s="57" customFormat="1">
      <c r="A202" s="176"/>
      <c r="B202" s="184">
        <v>6366050937</v>
      </c>
      <c r="C202" s="187" t="s">
        <v>47</v>
      </c>
      <c r="D202" s="294">
        <f t="shared" si="101"/>
        <v>290.32258064516128</v>
      </c>
      <c r="E202" s="294">
        <f t="shared" si="102"/>
        <v>714.28571428571433</v>
      </c>
      <c r="F202" s="294">
        <f t="shared" si="103"/>
        <v>548.38709677419354</v>
      </c>
      <c r="G202" s="294">
        <f t="shared" si="104"/>
        <v>800</v>
      </c>
      <c r="H202" s="294">
        <f t="shared" si="105"/>
        <v>483.87096774193549</v>
      </c>
      <c r="I202" s="294">
        <f t="shared" si="106"/>
        <v>400</v>
      </c>
      <c r="J202" s="294">
        <f t="shared" ref="J202:K202" si="112">(J176*1000)/31</f>
        <v>354.83870967741933</v>
      </c>
      <c r="K202" s="294">
        <f t="shared" si="112"/>
        <v>290.32258064516128</v>
      </c>
      <c r="L202" s="294">
        <f t="shared" si="108"/>
        <v>633.33333333333337</v>
      </c>
      <c r="M202" s="294">
        <f t="shared" si="109"/>
        <v>612.90322580645159</v>
      </c>
      <c r="N202" s="294">
        <f t="shared" si="110"/>
        <v>800</v>
      </c>
      <c r="O202" s="294">
        <f t="shared" si="111"/>
        <v>645.16129032258061</v>
      </c>
      <c r="P202" s="166"/>
    </row>
    <row r="203" spans="1:16" s="57" customFormat="1">
      <c r="A203" s="176"/>
      <c r="B203" s="184">
        <v>7366050938</v>
      </c>
      <c r="C203" s="187" t="s">
        <v>48</v>
      </c>
      <c r="D203" s="294">
        <f t="shared" si="101"/>
        <v>645.16129032258061</v>
      </c>
      <c r="E203" s="294">
        <f t="shared" si="102"/>
        <v>1142.8571428571429</v>
      </c>
      <c r="F203" s="294">
        <f t="shared" si="103"/>
        <v>1000</v>
      </c>
      <c r="G203" s="294">
        <f t="shared" si="104"/>
        <v>1100</v>
      </c>
      <c r="H203" s="294">
        <f t="shared" si="105"/>
        <v>903.22580645161293</v>
      </c>
      <c r="I203" s="294">
        <f t="shared" si="106"/>
        <v>1366.6666666666667</v>
      </c>
      <c r="J203" s="294">
        <f t="shared" ref="J203:K203" si="113">(J177*1000)/31</f>
        <v>1483.8709677419354</v>
      </c>
      <c r="K203" s="294">
        <f t="shared" si="113"/>
        <v>1548.3870967741937</v>
      </c>
      <c r="L203" s="294">
        <f t="shared" si="108"/>
        <v>1700</v>
      </c>
      <c r="M203" s="294">
        <f t="shared" si="109"/>
        <v>1677.4193548387098</v>
      </c>
      <c r="N203" s="294">
        <f t="shared" si="110"/>
        <v>1600</v>
      </c>
      <c r="O203" s="294">
        <f t="shared" si="111"/>
        <v>1548.3870967741937</v>
      </c>
      <c r="P203" s="166"/>
    </row>
    <row r="204" spans="1:16" s="57" customFormat="1">
      <c r="A204" s="176"/>
      <c r="B204" s="184">
        <v>3366050934</v>
      </c>
      <c r="C204" s="187" t="s">
        <v>49</v>
      </c>
      <c r="D204" s="294">
        <f t="shared" si="101"/>
        <v>774.19354838709683</v>
      </c>
      <c r="E204" s="294">
        <f t="shared" si="102"/>
        <v>5392.8571428571431</v>
      </c>
      <c r="F204" s="294">
        <f t="shared" si="103"/>
        <v>4354.8387096774195</v>
      </c>
      <c r="G204" s="294">
        <f t="shared" si="104"/>
        <v>4666.666666666667</v>
      </c>
      <c r="H204" s="294">
        <f t="shared" si="105"/>
        <v>2290.3225806451615</v>
      </c>
      <c r="I204" s="294">
        <f t="shared" si="106"/>
        <v>1166.6666666666667</v>
      </c>
      <c r="J204" s="294">
        <f t="shared" ref="J204:K204" si="114">(J178*1000)/31</f>
        <v>451.61290322580646</v>
      </c>
      <c r="K204" s="294">
        <f t="shared" si="114"/>
        <v>1741.9354838709678</v>
      </c>
      <c r="L204" s="294">
        <f t="shared" si="108"/>
        <v>4333.333333333333</v>
      </c>
      <c r="M204" s="294">
        <f t="shared" si="109"/>
        <v>5677.4193548387093</v>
      </c>
      <c r="N204" s="294">
        <f t="shared" si="110"/>
        <v>5333.333333333333</v>
      </c>
      <c r="O204" s="294">
        <f t="shared" si="111"/>
        <v>5774.1935483870966</v>
      </c>
    </row>
    <row r="205" spans="1:16" s="57" customFormat="1">
      <c r="A205" s="176"/>
      <c r="B205" s="185">
        <v>5581150299</v>
      </c>
      <c r="C205" s="187" t="s">
        <v>50</v>
      </c>
      <c r="D205" s="294">
        <f t="shared" si="101"/>
        <v>8677.4193548387102</v>
      </c>
      <c r="E205" s="294">
        <f t="shared" si="102"/>
        <v>11035.714285714286</v>
      </c>
      <c r="F205" s="294">
        <f t="shared" si="103"/>
        <v>9580.645161290322</v>
      </c>
      <c r="G205" s="294">
        <f t="shared" si="104"/>
        <v>11433.333333333334</v>
      </c>
      <c r="H205" s="294">
        <f t="shared" si="105"/>
        <v>8677.4193548387102</v>
      </c>
      <c r="I205" s="294">
        <f t="shared" si="106"/>
        <v>1633.3333333333333</v>
      </c>
      <c r="J205" s="294">
        <f t="shared" ref="J205:K205" si="115">(J179*1000)/31</f>
        <v>3322.5806451612902</v>
      </c>
      <c r="K205" s="294">
        <f t="shared" si="115"/>
        <v>3483.8709677419356</v>
      </c>
      <c r="L205" s="294">
        <f t="shared" si="108"/>
        <v>5366.666666666667</v>
      </c>
      <c r="M205" s="294">
        <f t="shared" si="109"/>
        <v>3935.483870967742</v>
      </c>
      <c r="N205" s="294">
        <f t="shared" si="110"/>
        <v>4200</v>
      </c>
      <c r="O205" s="294">
        <f t="shared" si="111"/>
        <v>4096.7741935483873</v>
      </c>
    </row>
    <row r="206" spans="1:16" s="57" customFormat="1">
      <c r="A206" s="176"/>
      <c r="B206" s="185">
        <v>5366050936</v>
      </c>
      <c r="C206" s="187" t="s">
        <v>51</v>
      </c>
      <c r="D206" s="294">
        <f t="shared" si="101"/>
        <v>645.16129032258061</v>
      </c>
      <c r="E206" s="294">
        <f t="shared" si="102"/>
        <v>892.85714285714289</v>
      </c>
      <c r="F206" s="294">
        <f t="shared" si="103"/>
        <v>741.93548387096769</v>
      </c>
      <c r="G206" s="294">
        <f t="shared" si="104"/>
        <v>933.33333333333337</v>
      </c>
      <c r="H206" s="294">
        <f t="shared" si="105"/>
        <v>612.90322580645159</v>
      </c>
      <c r="I206" s="294">
        <f t="shared" si="106"/>
        <v>266.66666666666669</v>
      </c>
      <c r="J206" s="294">
        <f t="shared" ref="J206:K206" si="116">(J180*1000)/31</f>
        <v>290.32258064516128</v>
      </c>
      <c r="K206" s="294">
        <f t="shared" si="116"/>
        <v>935.48387096774195</v>
      </c>
      <c r="L206" s="294">
        <f t="shared" si="108"/>
        <v>6266.666666666667</v>
      </c>
      <c r="M206" s="294">
        <f t="shared" si="109"/>
        <v>4032.2580645161293</v>
      </c>
      <c r="N206" s="294">
        <f t="shared" si="110"/>
        <v>1333.3333333333333</v>
      </c>
      <c r="O206" s="294">
        <f t="shared" si="111"/>
        <v>5774.1935483870966</v>
      </c>
    </row>
    <row r="207" spans="1:16" s="57" customFormat="1">
      <c r="A207" s="166"/>
      <c r="B207" s="185">
        <v>2052150585</v>
      </c>
      <c r="C207" s="187" t="s">
        <v>52</v>
      </c>
      <c r="D207" s="294">
        <f t="shared" si="101"/>
        <v>1645.1612903225807</v>
      </c>
      <c r="E207" s="294">
        <f t="shared" si="102"/>
        <v>5142.8571428571431</v>
      </c>
      <c r="F207" s="294">
        <f t="shared" si="103"/>
        <v>4322.5806451612907</v>
      </c>
      <c r="G207" s="294">
        <f t="shared" si="104"/>
        <v>7500</v>
      </c>
      <c r="H207" s="294">
        <f t="shared" si="105"/>
        <v>16290.322580645161</v>
      </c>
      <c r="I207" s="294">
        <f t="shared" si="106"/>
        <v>11366.666666666666</v>
      </c>
      <c r="J207" s="294">
        <f t="shared" ref="J207:K207" si="117">(J181*1000)/31</f>
        <v>13838.709677419354</v>
      </c>
      <c r="K207" s="294">
        <f t="shared" si="117"/>
        <v>12741.935483870968</v>
      </c>
      <c r="L207" s="294">
        <f t="shared" si="108"/>
        <v>17500</v>
      </c>
      <c r="M207" s="294">
        <f t="shared" si="109"/>
        <v>9903.2258064516136</v>
      </c>
      <c r="N207" s="294">
        <f t="shared" si="110"/>
        <v>7900</v>
      </c>
      <c r="O207" s="294">
        <f t="shared" si="111"/>
        <v>4806.4516129032254</v>
      </c>
    </row>
    <row r="208" spans="1:16" s="57" customFormat="1">
      <c r="A208" s="176"/>
      <c r="B208" s="185">
        <v>8635150066</v>
      </c>
      <c r="C208" s="187" t="s">
        <v>53</v>
      </c>
      <c r="D208" s="294">
        <f t="shared" si="101"/>
        <v>548.38709677419354</v>
      </c>
      <c r="E208" s="294">
        <f t="shared" si="102"/>
        <v>714.28571428571433</v>
      </c>
      <c r="F208" s="294">
        <f t="shared" si="103"/>
        <v>612.90322580645159</v>
      </c>
      <c r="G208" s="294">
        <f t="shared" si="104"/>
        <v>933.33333333333337</v>
      </c>
      <c r="H208" s="294">
        <f t="shared" si="105"/>
        <v>774.19354838709683</v>
      </c>
      <c r="I208" s="294">
        <f t="shared" si="106"/>
        <v>900</v>
      </c>
      <c r="J208" s="294">
        <f t="shared" ref="J208:K208" si="118">(J182*1000)/31</f>
        <v>2483.8709677419356</v>
      </c>
      <c r="K208" s="294">
        <f t="shared" si="118"/>
        <v>96.774193548387103</v>
      </c>
      <c r="L208" s="294">
        <f t="shared" si="108"/>
        <v>2266.6666666666665</v>
      </c>
      <c r="M208" s="294">
        <f t="shared" si="109"/>
        <v>322.58064516129031</v>
      </c>
      <c r="N208" s="294">
        <f t="shared" si="110"/>
        <v>400</v>
      </c>
      <c r="O208" s="294">
        <f t="shared" si="111"/>
        <v>96.774193548387103</v>
      </c>
    </row>
    <row r="209" spans="1:16" s="57" customFormat="1">
      <c r="A209" s="176"/>
      <c r="B209" s="186">
        <v>6663150208</v>
      </c>
      <c r="C209" s="187" t="s">
        <v>54</v>
      </c>
      <c r="D209" s="294">
        <f t="shared" si="101"/>
        <v>290.32258064516128</v>
      </c>
      <c r="E209" s="294">
        <f t="shared" si="102"/>
        <v>678.57142857142856</v>
      </c>
      <c r="F209" s="294">
        <f t="shared" si="103"/>
        <v>677.41935483870964</v>
      </c>
      <c r="G209" s="294">
        <f t="shared" si="104"/>
        <v>833.33333333333337</v>
      </c>
      <c r="H209" s="294">
        <f t="shared" si="105"/>
        <v>677.41935483870964</v>
      </c>
      <c r="I209" s="294">
        <f t="shared" si="106"/>
        <v>333.33333333333331</v>
      </c>
      <c r="J209" s="294">
        <f t="shared" ref="J209:K209" si="119">(J183*1000)/31</f>
        <v>290.32258064516128</v>
      </c>
      <c r="K209" s="294">
        <f t="shared" si="119"/>
        <v>354.83870967741933</v>
      </c>
      <c r="L209" s="294">
        <f t="shared" si="108"/>
        <v>700</v>
      </c>
      <c r="M209" s="294">
        <f t="shared" si="109"/>
        <v>806.45161290322585</v>
      </c>
      <c r="N209" s="294">
        <f t="shared" si="110"/>
        <v>1200</v>
      </c>
      <c r="O209" s="294">
        <f t="shared" si="111"/>
        <v>1354.8387096774193</v>
      </c>
    </row>
    <row r="210" spans="1:16" s="57" customFormat="1">
      <c r="A210" s="176"/>
      <c r="B210" s="185">
        <v>6068150813</v>
      </c>
      <c r="C210" s="187" t="s">
        <v>55</v>
      </c>
      <c r="D210" s="294">
        <f t="shared" si="101"/>
        <v>193.54838709677421</v>
      </c>
      <c r="E210" s="294">
        <f t="shared" si="102"/>
        <v>607.14285714285711</v>
      </c>
      <c r="F210" s="294">
        <f t="shared" si="103"/>
        <v>516.12903225806451</v>
      </c>
      <c r="G210" s="294">
        <f t="shared" si="104"/>
        <v>1333.3333333333333</v>
      </c>
      <c r="H210" s="294">
        <f t="shared" si="105"/>
        <v>7451.6129032258068</v>
      </c>
      <c r="I210" s="294">
        <f t="shared" si="106"/>
        <v>4233.333333333333</v>
      </c>
      <c r="J210" s="294">
        <f t="shared" ref="J210:K210" si="120">(J184*1000)/31</f>
        <v>8516.1290322580644</v>
      </c>
      <c r="K210" s="294">
        <f t="shared" si="120"/>
        <v>7354.8387096774195</v>
      </c>
      <c r="L210" s="294">
        <f t="shared" si="108"/>
        <v>8900</v>
      </c>
      <c r="M210" s="294">
        <f t="shared" si="109"/>
        <v>4129.0322580645161</v>
      </c>
      <c r="N210" s="294">
        <f t="shared" si="110"/>
        <v>2666.6666666666665</v>
      </c>
      <c r="O210" s="294">
        <f t="shared" si="111"/>
        <v>677.41935483870964</v>
      </c>
    </row>
    <row r="211" spans="1:16" s="57" customFormat="1">
      <c r="A211" s="176"/>
      <c r="B211" s="186">
        <v>5068150812</v>
      </c>
      <c r="C211" s="187" t="s">
        <v>56</v>
      </c>
      <c r="D211" s="294">
        <f t="shared" si="101"/>
        <v>32.258064516129032</v>
      </c>
      <c r="E211" s="294">
        <f t="shared" si="102"/>
        <v>250</v>
      </c>
      <c r="F211" s="294">
        <f t="shared" si="103"/>
        <v>193.54838709677421</v>
      </c>
      <c r="G211" s="294">
        <f t="shared" si="104"/>
        <v>333.33333333333331</v>
      </c>
      <c r="H211" s="294">
        <f t="shared" si="105"/>
        <v>193.54838709677421</v>
      </c>
      <c r="I211" s="294">
        <f t="shared" si="106"/>
        <v>133.33333333333334</v>
      </c>
      <c r="J211" s="294">
        <f t="shared" ref="J211:K211" si="121">(J185*1000)/31</f>
        <v>96.774193548387103</v>
      </c>
      <c r="K211" s="294">
        <f t="shared" si="121"/>
        <v>161.29032258064515</v>
      </c>
      <c r="L211" s="294">
        <f t="shared" si="108"/>
        <v>233.33333333333334</v>
      </c>
      <c r="M211" s="294">
        <f t="shared" si="109"/>
        <v>322.58064516129031</v>
      </c>
      <c r="N211" s="294">
        <f t="shared" si="110"/>
        <v>366.66666666666669</v>
      </c>
      <c r="O211" s="294">
        <f t="shared" si="111"/>
        <v>290.32258064516128</v>
      </c>
    </row>
    <row r="212" spans="1:16" s="57" customFormat="1">
      <c r="A212" s="176"/>
      <c r="B212" s="186">
        <v>2364150700</v>
      </c>
      <c r="C212" s="187" t="s">
        <v>57</v>
      </c>
      <c r="D212" s="294">
        <f t="shared" si="101"/>
        <v>1096.7741935483871</v>
      </c>
      <c r="E212" s="294">
        <f t="shared" si="102"/>
        <v>1428.5714285714287</v>
      </c>
      <c r="F212" s="294">
        <f t="shared" si="103"/>
        <v>1096.7741935483871</v>
      </c>
      <c r="G212" s="294">
        <f t="shared" si="104"/>
        <v>1500</v>
      </c>
      <c r="H212" s="294">
        <f t="shared" si="105"/>
        <v>967.74193548387098</v>
      </c>
      <c r="I212" s="294">
        <f t="shared" si="106"/>
        <v>1266.6666666666667</v>
      </c>
      <c r="J212" s="294">
        <f t="shared" ref="J212:K212" si="122">(J186*1000)/31</f>
        <v>1290.3225806451612</v>
      </c>
      <c r="K212" s="294">
        <f t="shared" si="122"/>
        <v>1483.8709677419354</v>
      </c>
      <c r="L212" s="294">
        <f t="shared" si="108"/>
        <v>2333.3333333333335</v>
      </c>
      <c r="M212" s="294">
        <f t="shared" si="109"/>
        <v>1677.4193548387098</v>
      </c>
      <c r="N212" s="294">
        <f t="shared" si="110"/>
        <v>1433.3333333333333</v>
      </c>
      <c r="O212" s="294">
        <f t="shared" si="111"/>
        <v>1225.8064516129032</v>
      </c>
    </row>
    <row r="213" spans="1:16" s="57" customFormat="1">
      <c r="A213" s="176"/>
      <c r="B213" s="186">
        <v>1364150699</v>
      </c>
      <c r="C213" s="187" t="s">
        <v>58</v>
      </c>
      <c r="D213" s="294">
        <f t="shared" si="101"/>
        <v>387.09677419354841</v>
      </c>
      <c r="E213" s="294">
        <f t="shared" si="102"/>
        <v>1607.1428571428571</v>
      </c>
      <c r="F213" s="294">
        <f t="shared" si="103"/>
        <v>1483.8709677419354</v>
      </c>
      <c r="G213" s="294">
        <f t="shared" si="104"/>
        <v>1733.3333333333333</v>
      </c>
      <c r="H213" s="294">
        <f t="shared" si="105"/>
        <v>2451.6129032258063</v>
      </c>
      <c r="I213" s="294">
        <f t="shared" si="106"/>
        <v>2266.6666666666665</v>
      </c>
      <c r="J213" s="294">
        <f t="shared" ref="J213:K213" si="123">(J187*1000)/31</f>
        <v>4161.2903225806449</v>
      </c>
      <c r="K213" s="294">
        <f t="shared" si="123"/>
        <v>3645.1612903225805</v>
      </c>
      <c r="L213" s="294">
        <f t="shared" si="108"/>
        <v>4633.333333333333</v>
      </c>
      <c r="M213" s="294">
        <f t="shared" si="109"/>
        <v>2580.6451612903224</v>
      </c>
      <c r="N213" s="294">
        <f t="shared" si="110"/>
        <v>2200</v>
      </c>
      <c r="O213" s="294">
        <f t="shared" si="111"/>
        <v>1193.5483870967741</v>
      </c>
    </row>
    <row r="214" spans="1:16" s="57" customFormat="1">
      <c r="A214" s="176"/>
      <c r="B214" s="185">
        <v>2068150809</v>
      </c>
      <c r="C214" s="187" t="s">
        <v>59</v>
      </c>
      <c r="D214" s="294">
        <f t="shared" si="101"/>
        <v>0</v>
      </c>
      <c r="E214" s="294">
        <f t="shared" si="102"/>
        <v>35.714285714285715</v>
      </c>
      <c r="F214" s="294">
        <f t="shared" si="103"/>
        <v>32.258064516129032</v>
      </c>
      <c r="G214" s="294">
        <f t="shared" si="104"/>
        <v>33.333333333333336</v>
      </c>
      <c r="H214" s="294">
        <f t="shared" si="105"/>
        <v>32.258064516129032</v>
      </c>
      <c r="I214" s="294">
        <f t="shared" si="106"/>
        <v>33.333333333333336</v>
      </c>
      <c r="J214" s="294">
        <f t="shared" ref="J214:K214" si="124">(J188*1000)/31</f>
        <v>32.258064516129032</v>
      </c>
      <c r="K214" s="294">
        <f t="shared" si="124"/>
        <v>32.258064516129032</v>
      </c>
      <c r="L214" s="294">
        <f t="shared" si="108"/>
        <v>33.333333333333336</v>
      </c>
      <c r="M214" s="294">
        <f t="shared" si="109"/>
        <v>32.258064516129032</v>
      </c>
      <c r="N214" s="294">
        <f t="shared" si="110"/>
        <v>33.333333333333336</v>
      </c>
      <c r="O214" s="294">
        <f t="shared" si="111"/>
        <v>0</v>
      </c>
    </row>
    <row r="215" spans="1:16" s="57" customFormat="1">
      <c r="A215" s="176"/>
      <c r="B215" s="185">
        <v>5756250297</v>
      </c>
      <c r="C215" s="187" t="s">
        <v>60</v>
      </c>
      <c r="D215" s="294">
        <f t="shared" si="101"/>
        <v>5612.9032258064517</v>
      </c>
      <c r="E215" s="294">
        <f t="shared" si="102"/>
        <v>12821.428571428571</v>
      </c>
      <c r="F215" s="294">
        <f t="shared" si="103"/>
        <v>10096.774193548386</v>
      </c>
      <c r="G215" s="294">
        <f t="shared" si="104"/>
        <v>13666.666666666666</v>
      </c>
      <c r="H215" s="294">
        <f t="shared" si="105"/>
        <v>11322.58064516129</v>
      </c>
      <c r="I215" s="294">
        <f t="shared" si="106"/>
        <v>6766.666666666667</v>
      </c>
      <c r="J215" s="294">
        <f t="shared" ref="J215:K215" si="125">(J189*1000)/31</f>
        <v>11838.709677419354</v>
      </c>
      <c r="K215" s="294">
        <f t="shared" si="125"/>
        <v>14677.41935483871</v>
      </c>
      <c r="L215" s="294">
        <f t="shared" si="108"/>
        <v>21666.666666666668</v>
      </c>
      <c r="M215" s="294">
        <f t="shared" si="109"/>
        <v>16870.967741935485</v>
      </c>
      <c r="N215" s="294">
        <f t="shared" si="110"/>
        <v>13833.333333333334</v>
      </c>
      <c r="O215" s="294">
        <f t="shared" si="111"/>
        <v>9774.1935483870966</v>
      </c>
    </row>
    <row r="216" spans="1:16" s="57" customFormat="1">
      <c r="A216" s="176"/>
      <c r="B216" s="186">
        <v>1665911804</v>
      </c>
      <c r="C216" s="187" t="s">
        <v>61</v>
      </c>
      <c r="D216" s="294">
        <f t="shared" si="101"/>
        <v>129.03225806451613</v>
      </c>
      <c r="E216" s="294">
        <f t="shared" si="102"/>
        <v>178.57142857142858</v>
      </c>
      <c r="F216" s="294">
        <f t="shared" si="103"/>
        <v>161.29032258064515</v>
      </c>
      <c r="G216" s="294">
        <f t="shared" si="104"/>
        <v>233.33333333333334</v>
      </c>
      <c r="H216" s="294">
        <f t="shared" si="105"/>
        <v>258.06451612903226</v>
      </c>
      <c r="I216" s="294">
        <f t="shared" si="106"/>
        <v>66.666666666666671</v>
      </c>
      <c r="J216" s="294">
        <f t="shared" ref="J216:K216" si="126">(J190*1000)/31</f>
        <v>193.54838709677421</v>
      </c>
      <c r="K216" s="294">
        <f t="shared" si="126"/>
        <v>225.80645161290323</v>
      </c>
      <c r="L216" s="294">
        <f t="shared" si="108"/>
        <v>566.66666666666663</v>
      </c>
      <c r="M216" s="294">
        <f t="shared" si="109"/>
        <v>193.54838709677421</v>
      </c>
      <c r="N216" s="294">
        <f t="shared" si="110"/>
        <v>500</v>
      </c>
      <c r="O216" s="294">
        <f t="shared" si="111"/>
        <v>193.54838709677421</v>
      </c>
    </row>
    <row r="217" spans="1:16" s="57" customFormat="1">
      <c r="A217" s="176"/>
      <c r="B217" s="186">
        <v>3054467971</v>
      </c>
      <c r="C217" s="187" t="s">
        <v>62</v>
      </c>
      <c r="D217" s="294">
        <f t="shared" si="101"/>
        <v>322.58064516129031</v>
      </c>
      <c r="E217" s="294">
        <f t="shared" si="102"/>
        <v>500</v>
      </c>
      <c r="F217" s="294">
        <f t="shared" si="103"/>
        <v>580.64516129032256</v>
      </c>
      <c r="G217" s="294">
        <f t="shared" si="104"/>
        <v>733.33333333333337</v>
      </c>
      <c r="H217" s="294">
        <f t="shared" si="105"/>
        <v>580.64516129032256</v>
      </c>
      <c r="I217" s="294">
        <f t="shared" si="106"/>
        <v>433.33333333333331</v>
      </c>
      <c r="J217" s="294">
        <f t="shared" ref="J217:K217" si="127">(J191*1000)/31</f>
        <v>1225.8064516129032</v>
      </c>
      <c r="K217" s="294">
        <f t="shared" si="127"/>
        <v>709.67741935483866</v>
      </c>
      <c r="L217" s="294">
        <f t="shared" si="108"/>
        <v>900</v>
      </c>
      <c r="M217" s="294">
        <f t="shared" si="109"/>
        <v>838.70967741935488</v>
      </c>
      <c r="N217" s="294">
        <f t="shared" si="110"/>
        <v>800</v>
      </c>
      <c r="O217" s="294">
        <f t="shared" si="111"/>
        <v>741.93548387096769</v>
      </c>
    </row>
    <row r="218" spans="1:16" s="57" customFormat="1">
      <c r="A218" s="176"/>
      <c r="B218" s="186">
        <v>3380811569</v>
      </c>
      <c r="C218" s="187" t="s">
        <v>63</v>
      </c>
      <c r="D218" s="294">
        <f t="shared" si="101"/>
        <v>0</v>
      </c>
      <c r="E218" s="294">
        <f t="shared" si="102"/>
        <v>0</v>
      </c>
      <c r="F218" s="294">
        <f t="shared" si="103"/>
        <v>0</v>
      </c>
      <c r="G218" s="294">
        <f t="shared" si="104"/>
        <v>33.333333333333336</v>
      </c>
      <c r="H218" s="294">
        <f t="shared" si="105"/>
        <v>0</v>
      </c>
      <c r="I218" s="294">
        <f t="shared" si="106"/>
        <v>0</v>
      </c>
      <c r="J218" s="294">
        <f t="shared" ref="J218:K218" si="128">(J192*1000)/31</f>
        <v>32.258064516129032</v>
      </c>
      <c r="K218" s="294">
        <f t="shared" si="128"/>
        <v>0</v>
      </c>
      <c r="L218" s="294">
        <f t="shared" si="108"/>
        <v>33.333333333333336</v>
      </c>
      <c r="M218" s="294">
        <f t="shared" si="109"/>
        <v>0</v>
      </c>
      <c r="N218" s="294">
        <f t="shared" si="110"/>
        <v>33.333333333333336</v>
      </c>
      <c r="O218" s="294">
        <f t="shared" si="111"/>
        <v>32.258064516129032</v>
      </c>
    </row>
    <row r="219" spans="1:16" s="57" customFormat="1">
      <c r="D219" s="177">
        <f>SUM(D200:D218)</f>
        <v>22064.516129032261</v>
      </c>
      <c r="E219" s="205">
        <f t="shared" ref="E219:O219" si="129">SUM(E200:E218)</f>
        <v>46142.857142857145</v>
      </c>
      <c r="F219" s="205">
        <f t="shared" si="129"/>
        <v>38548.38709677419</v>
      </c>
      <c r="G219" s="205">
        <f t="shared" si="129"/>
        <v>50933.333333333343</v>
      </c>
      <c r="H219" s="205">
        <f t="shared" si="129"/>
        <v>55451.612903225803</v>
      </c>
      <c r="I219" s="205">
        <f t="shared" si="129"/>
        <v>33033.333333333336</v>
      </c>
      <c r="J219" s="205">
        <f t="shared" si="129"/>
        <v>50612.903225806447</v>
      </c>
      <c r="K219" s="205">
        <f t="shared" si="129"/>
        <v>50193.54838709678</v>
      </c>
      <c r="L219" s="205">
        <f t="shared" si="129"/>
        <v>79633.333333333343</v>
      </c>
      <c r="M219" s="205">
        <f t="shared" si="129"/>
        <v>55419.354838709689</v>
      </c>
      <c r="N219" s="205">
        <f t="shared" si="129"/>
        <v>46533.333333333336</v>
      </c>
      <c r="O219" s="205">
        <f t="shared" si="129"/>
        <v>40129.032258064515</v>
      </c>
    </row>
    <row r="220" spans="1:16" s="57" customFormat="1">
      <c r="D220" s="300"/>
      <c r="E220" s="300"/>
      <c r="F220" s="300"/>
      <c r="G220" s="300"/>
      <c r="H220" s="300"/>
      <c r="I220" s="300"/>
      <c r="J220" s="300"/>
      <c r="K220" s="300"/>
      <c r="L220" s="300"/>
      <c r="M220" s="300"/>
      <c r="N220" s="300"/>
      <c r="O220" s="300"/>
    </row>
    <row r="221" spans="1:16" s="57" customFormat="1">
      <c r="A221" s="79"/>
      <c r="B221" s="79"/>
      <c r="C221" s="79"/>
      <c r="D221" s="79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9"/>
    </row>
    <row r="222" spans="1:16" s="57" customFormat="1">
      <c r="A222" s="203" t="s">
        <v>72</v>
      </c>
      <c r="B222" s="194">
        <v>2023</v>
      </c>
      <c r="C222" s="195"/>
      <c r="D222" s="195"/>
      <c r="E222" s="195"/>
      <c r="F222" s="195"/>
      <c r="G222" s="195"/>
      <c r="H222" s="195"/>
      <c r="I222" s="195"/>
      <c r="J222" s="195"/>
      <c r="K222" s="195"/>
      <c r="L222" s="195"/>
      <c r="M222" s="195"/>
      <c r="N222" s="195"/>
      <c r="O222" s="195"/>
      <c r="P222" s="195"/>
    </row>
    <row r="223" spans="1:16" s="57" customFormat="1" ht="15.75" thickBot="1">
      <c r="A223" s="196" t="s">
        <v>30</v>
      </c>
      <c r="B223" s="197" t="s">
        <v>31</v>
      </c>
      <c r="C223" s="197" t="s">
        <v>32</v>
      </c>
      <c r="D223" s="197" t="s">
        <v>33</v>
      </c>
      <c r="E223" s="197" t="s">
        <v>34</v>
      </c>
      <c r="F223" s="197" t="s">
        <v>35</v>
      </c>
      <c r="G223" s="197" t="s">
        <v>36</v>
      </c>
      <c r="H223" s="197" t="s">
        <v>37</v>
      </c>
      <c r="I223" s="197" t="s">
        <v>38</v>
      </c>
      <c r="J223" s="197" t="s">
        <v>39</v>
      </c>
      <c r="K223" s="197" t="s">
        <v>40</v>
      </c>
      <c r="L223" s="197" t="s">
        <v>41</v>
      </c>
      <c r="M223" s="197" t="s">
        <v>42</v>
      </c>
      <c r="N223" s="197" t="s">
        <v>43</v>
      </c>
      <c r="O223" s="197" t="s">
        <v>44</v>
      </c>
      <c r="P223" s="198" t="s">
        <v>100</v>
      </c>
    </row>
    <row r="224" spans="1:16" s="57" customFormat="1">
      <c r="A224" s="193"/>
      <c r="B224" s="199">
        <v>7534810685</v>
      </c>
      <c r="C224" s="219" t="s">
        <v>45</v>
      </c>
      <c r="D224" s="202">
        <v>12</v>
      </c>
      <c r="E224" s="202">
        <v>13</v>
      </c>
      <c r="F224" s="202">
        <v>16</v>
      </c>
      <c r="G224" s="202">
        <v>14</v>
      </c>
      <c r="H224" s="202">
        <v>16</v>
      </c>
      <c r="I224" s="202">
        <v>13</v>
      </c>
      <c r="J224" s="202">
        <v>14</v>
      </c>
      <c r="K224" s="202">
        <v>13</v>
      </c>
      <c r="L224" s="202">
        <v>18</v>
      </c>
      <c r="M224" s="202">
        <v>16</v>
      </c>
      <c r="N224" s="202">
        <v>14</v>
      </c>
      <c r="O224" s="202">
        <v>16</v>
      </c>
      <c r="P224" s="218">
        <f>SUM(D224:O224)</f>
        <v>175</v>
      </c>
    </row>
    <row r="225" spans="1:16" s="57" customFormat="1">
      <c r="A225" s="193"/>
      <c r="B225" s="199">
        <v>4366050935</v>
      </c>
      <c r="C225" s="219" t="s">
        <v>46</v>
      </c>
      <c r="D225" s="202">
        <v>12</v>
      </c>
      <c r="E225" s="202">
        <v>42</v>
      </c>
      <c r="F225" s="202">
        <v>48</v>
      </c>
      <c r="G225" s="202">
        <v>38</v>
      </c>
      <c r="H225" s="202">
        <v>23</v>
      </c>
      <c r="I225" s="202">
        <v>1</v>
      </c>
      <c r="J225" s="202">
        <v>0</v>
      </c>
      <c r="K225" s="202">
        <v>1</v>
      </c>
      <c r="L225" s="202">
        <v>27</v>
      </c>
      <c r="M225" s="202">
        <v>27</v>
      </c>
      <c r="N225" s="202">
        <v>22</v>
      </c>
      <c r="O225" s="202">
        <v>34</v>
      </c>
      <c r="P225" s="218">
        <f t="shared" ref="P225:P242" si="130">SUM(D225:O225)</f>
        <v>275</v>
      </c>
    </row>
    <row r="226" spans="1:16" s="57" customFormat="1">
      <c r="A226" s="193"/>
      <c r="B226" s="199">
        <v>6366050937</v>
      </c>
      <c r="C226" s="219" t="s">
        <v>47</v>
      </c>
      <c r="D226" s="202">
        <v>3</v>
      </c>
      <c r="E226" s="202">
        <v>20</v>
      </c>
      <c r="F226" s="202">
        <v>21</v>
      </c>
      <c r="G226" s="202">
        <v>19</v>
      </c>
      <c r="H226" s="202">
        <v>13</v>
      </c>
      <c r="I226" s="202">
        <v>12</v>
      </c>
      <c r="J226" s="202">
        <v>16</v>
      </c>
      <c r="K226" s="202">
        <v>11</v>
      </c>
      <c r="L226" s="202">
        <v>17</v>
      </c>
      <c r="M226" s="202">
        <v>18</v>
      </c>
      <c r="N226" s="202">
        <v>19</v>
      </c>
      <c r="O226" s="202">
        <v>20</v>
      </c>
      <c r="P226" s="218">
        <f t="shared" si="130"/>
        <v>189</v>
      </c>
    </row>
    <row r="227" spans="1:16" s="57" customFormat="1">
      <c r="A227" s="193"/>
      <c r="B227" s="199">
        <v>7366050938</v>
      </c>
      <c r="C227" s="219" t="s">
        <v>48</v>
      </c>
      <c r="D227" s="202">
        <v>65</v>
      </c>
      <c r="E227" s="202">
        <v>53</v>
      </c>
      <c r="F227" s="202">
        <v>53</v>
      </c>
      <c r="G227" s="202">
        <v>47</v>
      </c>
      <c r="H227" s="202">
        <v>41</v>
      </c>
      <c r="I227" s="202">
        <v>27</v>
      </c>
      <c r="J227" s="202">
        <v>33</v>
      </c>
      <c r="K227" s="202">
        <v>31</v>
      </c>
      <c r="L227" s="202">
        <v>38</v>
      </c>
      <c r="M227" s="202">
        <v>56</v>
      </c>
      <c r="N227" s="202">
        <v>48</v>
      </c>
      <c r="O227" s="202">
        <v>33</v>
      </c>
      <c r="P227" s="218">
        <f t="shared" si="130"/>
        <v>525</v>
      </c>
    </row>
    <row r="228" spans="1:16" s="57" customFormat="1">
      <c r="A228" s="193"/>
      <c r="B228" s="199">
        <v>3366050934</v>
      </c>
      <c r="C228" s="219" t="s">
        <v>49</v>
      </c>
      <c r="D228" s="202">
        <v>95</v>
      </c>
      <c r="E228" s="202">
        <v>235</v>
      </c>
      <c r="F228" s="202">
        <v>289</v>
      </c>
      <c r="G228" s="202">
        <v>335</v>
      </c>
      <c r="H228" s="202">
        <v>313</v>
      </c>
      <c r="I228" s="202">
        <v>128</v>
      </c>
      <c r="J228" s="202">
        <v>33</v>
      </c>
      <c r="K228" s="202">
        <v>24</v>
      </c>
      <c r="L228" s="202">
        <v>80</v>
      </c>
      <c r="M228" s="202">
        <v>81</v>
      </c>
      <c r="N228" s="202">
        <v>86</v>
      </c>
      <c r="O228" s="202">
        <v>86</v>
      </c>
      <c r="P228" s="218">
        <f t="shared" si="130"/>
        <v>1785</v>
      </c>
    </row>
    <row r="229" spans="1:16" s="57" customFormat="1">
      <c r="A229" s="193"/>
      <c r="B229" s="199">
        <v>5581150299</v>
      </c>
      <c r="C229" s="219" t="s">
        <v>50</v>
      </c>
      <c r="D229" s="202">
        <v>29</v>
      </c>
      <c r="E229" s="202">
        <v>136</v>
      </c>
      <c r="F229" s="202">
        <v>120</v>
      </c>
      <c r="G229" s="202">
        <v>137</v>
      </c>
      <c r="H229" s="202">
        <v>81</v>
      </c>
      <c r="I229" s="202">
        <v>10</v>
      </c>
      <c r="J229" s="202">
        <v>9</v>
      </c>
      <c r="K229" s="202">
        <v>20</v>
      </c>
      <c r="L229" s="202">
        <v>126</v>
      </c>
      <c r="M229" s="202">
        <v>138</v>
      </c>
      <c r="N229" s="202">
        <v>138</v>
      </c>
      <c r="O229" s="202">
        <v>121</v>
      </c>
      <c r="P229" s="218">
        <f t="shared" si="130"/>
        <v>1065</v>
      </c>
    </row>
    <row r="230" spans="1:16" s="57" customFormat="1">
      <c r="A230" s="193"/>
      <c r="B230" s="199">
        <v>5366050936</v>
      </c>
      <c r="C230" s="219" t="s">
        <v>51</v>
      </c>
      <c r="D230" s="202">
        <v>102</v>
      </c>
      <c r="E230" s="202">
        <v>216</v>
      </c>
      <c r="F230" s="202">
        <v>25</v>
      </c>
      <c r="G230" s="202">
        <v>21</v>
      </c>
      <c r="H230" s="202">
        <v>22</v>
      </c>
      <c r="I230" s="202">
        <v>15</v>
      </c>
      <c r="J230" s="202">
        <v>26</v>
      </c>
      <c r="K230" s="202">
        <v>15</v>
      </c>
      <c r="L230" s="202">
        <v>36</v>
      </c>
      <c r="M230" s="202">
        <v>41</v>
      </c>
      <c r="N230" s="202">
        <v>39</v>
      </c>
      <c r="O230" s="202">
        <v>33</v>
      </c>
      <c r="P230" s="218">
        <f t="shared" si="130"/>
        <v>591</v>
      </c>
    </row>
    <row r="231" spans="1:16" s="57" customFormat="1">
      <c r="A231" s="193"/>
      <c r="B231" s="199">
        <v>2052150585</v>
      </c>
      <c r="C231" s="219" t="s">
        <v>52</v>
      </c>
      <c r="D231" s="202">
        <v>45</v>
      </c>
      <c r="E231" s="202">
        <v>171</v>
      </c>
      <c r="F231" s="202">
        <v>221</v>
      </c>
      <c r="G231" s="202">
        <v>271</v>
      </c>
      <c r="H231" s="202">
        <v>278</v>
      </c>
      <c r="I231" s="202">
        <v>116</v>
      </c>
      <c r="J231" s="202">
        <v>194</v>
      </c>
      <c r="K231" s="202">
        <v>361</v>
      </c>
      <c r="L231" s="202">
        <v>478</v>
      </c>
      <c r="M231" s="202">
        <v>514</v>
      </c>
      <c r="N231" s="202">
        <v>302</v>
      </c>
      <c r="O231" s="202">
        <v>267</v>
      </c>
      <c r="P231" s="218">
        <f t="shared" si="130"/>
        <v>3218</v>
      </c>
    </row>
    <row r="232" spans="1:16" s="57" customFormat="1">
      <c r="A232" s="193"/>
      <c r="B232" s="199">
        <v>8635150066</v>
      </c>
      <c r="C232" s="219" t="s">
        <v>53</v>
      </c>
      <c r="D232" s="202">
        <v>1</v>
      </c>
      <c r="E232" s="202">
        <v>11</v>
      </c>
      <c r="F232" s="202">
        <v>6</v>
      </c>
      <c r="G232" s="202">
        <v>9</v>
      </c>
      <c r="H232" s="202">
        <v>10</v>
      </c>
      <c r="I232" s="202">
        <v>8</v>
      </c>
      <c r="J232" s="202">
        <v>3</v>
      </c>
      <c r="K232" s="202">
        <v>4</v>
      </c>
      <c r="L232" s="202">
        <v>29</v>
      </c>
      <c r="M232" s="202">
        <v>20</v>
      </c>
      <c r="N232" s="202">
        <v>3</v>
      </c>
      <c r="O232" s="202">
        <v>3</v>
      </c>
      <c r="P232" s="218">
        <f t="shared" si="130"/>
        <v>107</v>
      </c>
    </row>
    <row r="233" spans="1:16" s="57" customFormat="1">
      <c r="A233" s="193"/>
      <c r="B233" s="200">
        <v>6663150208</v>
      </c>
      <c r="C233" s="219" t="s">
        <v>54</v>
      </c>
      <c r="D233" s="202">
        <v>26</v>
      </c>
      <c r="E233" s="202">
        <v>20</v>
      </c>
      <c r="F233" s="202">
        <v>22</v>
      </c>
      <c r="G233" s="202">
        <v>21</v>
      </c>
      <c r="H233" s="202">
        <v>18</v>
      </c>
      <c r="I233" s="202">
        <v>10</v>
      </c>
      <c r="J233" s="202">
        <v>9</v>
      </c>
      <c r="K233" s="202">
        <v>17</v>
      </c>
      <c r="L233" s="202">
        <v>21</v>
      </c>
      <c r="M233" s="202">
        <v>36</v>
      </c>
      <c r="N233" s="202">
        <v>23</v>
      </c>
      <c r="O233" s="202">
        <v>21</v>
      </c>
      <c r="P233" s="218">
        <f t="shared" si="130"/>
        <v>244</v>
      </c>
    </row>
    <row r="234" spans="1:16" s="57" customFormat="1">
      <c r="A234" s="193"/>
      <c r="B234" s="199">
        <v>6068150813</v>
      </c>
      <c r="C234" s="219" t="s">
        <v>55</v>
      </c>
      <c r="D234" s="202">
        <v>6</v>
      </c>
      <c r="E234" s="202">
        <v>24</v>
      </c>
      <c r="F234" s="202">
        <v>20</v>
      </c>
      <c r="G234" s="202">
        <v>32</v>
      </c>
      <c r="H234" s="202">
        <v>104</v>
      </c>
      <c r="I234" s="202">
        <v>72</v>
      </c>
      <c r="J234" s="202">
        <v>112</v>
      </c>
      <c r="K234" s="202">
        <v>220</v>
      </c>
      <c r="L234" s="202">
        <v>224</v>
      </c>
      <c r="M234" s="202">
        <v>196</v>
      </c>
      <c r="N234" s="202">
        <v>27</v>
      </c>
      <c r="O234" s="202">
        <v>19</v>
      </c>
      <c r="P234" s="218">
        <f t="shared" si="130"/>
        <v>1056</v>
      </c>
    </row>
    <row r="235" spans="1:16" s="57" customFormat="1">
      <c r="A235" s="193"/>
      <c r="B235" s="200">
        <v>5068150812</v>
      </c>
      <c r="C235" s="219" t="s">
        <v>56</v>
      </c>
      <c r="D235" s="202">
        <v>7</v>
      </c>
      <c r="E235" s="202">
        <v>18</v>
      </c>
      <c r="F235" s="202">
        <v>10</v>
      </c>
      <c r="G235" s="202">
        <v>11</v>
      </c>
      <c r="H235" s="202">
        <v>8</v>
      </c>
      <c r="I235" s="202">
        <v>6</v>
      </c>
      <c r="J235" s="202">
        <v>2</v>
      </c>
      <c r="K235" s="202">
        <v>7</v>
      </c>
      <c r="L235" s="202">
        <v>10</v>
      </c>
      <c r="M235" s="202">
        <v>11</v>
      </c>
      <c r="N235" s="202">
        <v>11</v>
      </c>
      <c r="O235" s="202">
        <v>11</v>
      </c>
      <c r="P235" s="218">
        <f t="shared" si="130"/>
        <v>112</v>
      </c>
    </row>
    <row r="236" spans="1:16" s="57" customFormat="1">
      <c r="A236" s="193"/>
      <c r="B236" s="200">
        <v>2364150700</v>
      </c>
      <c r="C236" s="219" t="s">
        <v>57</v>
      </c>
      <c r="D236" s="202">
        <v>30</v>
      </c>
      <c r="E236" s="202">
        <v>50</v>
      </c>
      <c r="F236" s="202">
        <v>58</v>
      </c>
      <c r="G236" s="202">
        <v>45</v>
      </c>
      <c r="H236" s="202">
        <v>51</v>
      </c>
      <c r="I236" s="202">
        <v>39</v>
      </c>
      <c r="J236" s="202">
        <v>51</v>
      </c>
      <c r="K236" s="202">
        <v>53</v>
      </c>
      <c r="L236" s="202">
        <v>77</v>
      </c>
      <c r="M236" s="202">
        <v>58</v>
      </c>
      <c r="N236" s="202">
        <v>60</v>
      </c>
      <c r="O236" s="202">
        <v>40</v>
      </c>
      <c r="P236" s="218">
        <f t="shared" si="130"/>
        <v>612</v>
      </c>
    </row>
    <row r="237" spans="1:16" s="57" customFormat="1">
      <c r="A237" s="193"/>
      <c r="B237" s="200">
        <v>1364150699</v>
      </c>
      <c r="C237" s="219" t="s">
        <v>58</v>
      </c>
      <c r="D237" s="202">
        <v>13</v>
      </c>
      <c r="E237" s="202">
        <v>96</v>
      </c>
      <c r="F237" s="202">
        <v>49</v>
      </c>
      <c r="G237" s="202">
        <v>49</v>
      </c>
      <c r="H237" s="202">
        <v>29</v>
      </c>
      <c r="I237" s="202">
        <v>6</v>
      </c>
      <c r="J237" s="202">
        <v>44</v>
      </c>
      <c r="K237" s="202">
        <v>107</v>
      </c>
      <c r="L237" s="202">
        <v>149</v>
      </c>
      <c r="M237" s="202">
        <v>142</v>
      </c>
      <c r="N237" s="202">
        <v>86</v>
      </c>
      <c r="O237" s="202">
        <v>65</v>
      </c>
      <c r="P237" s="218">
        <f t="shared" si="130"/>
        <v>835</v>
      </c>
    </row>
    <row r="238" spans="1:16" s="57" customFormat="1">
      <c r="A238" s="193"/>
      <c r="B238" s="199">
        <v>2068150809</v>
      </c>
      <c r="C238" s="219" t="s">
        <v>59</v>
      </c>
      <c r="D238" s="202">
        <v>1</v>
      </c>
      <c r="E238" s="202">
        <v>1</v>
      </c>
      <c r="F238" s="202">
        <v>7</v>
      </c>
      <c r="G238" s="202">
        <v>2</v>
      </c>
      <c r="H238" s="202">
        <v>2</v>
      </c>
      <c r="I238" s="202">
        <v>0</v>
      </c>
      <c r="J238" s="202">
        <v>1</v>
      </c>
      <c r="K238" s="202">
        <v>1</v>
      </c>
      <c r="L238" s="202">
        <v>2</v>
      </c>
      <c r="M238" s="202">
        <v>1</v>
      </c>
      <c r="N238" s="202">
        <v>1</v>
      </c>
      <c r="O238" s="202">
        <v>2</v>
      </c>
      <c r="P238" s="218">
        <f t="shared" si="130"/>
        <v>21</v>
      </c>
    </row>
    <row r="239" spans="1:16" s="57" customFormat="1">
      <c r="A239" s="193"/>
      <c r="B239" s="199">
        <v>5756250297</v>
      </c>
      <c r="C239" s="219" t="s">
        <v>60</v>
      </c>
      <c r="D239" s="200">
        <v>165</v>
      </c>
      <c r="E239" s="200">
        <v>323</v>
      </c>
      <c r="F239" s="200">
        <v>328</v>
      </c>
      <c r="G239" s="200">
        <v>451</v>
      </c>
      <c r="H239" s="200">
        <v>421</v>
      </c>
      <c r="I239" s="200">
        <v>321</v>
      </c>
      <c r="J239" s="200">
        <v>360</v>
      </c>
      <c r="K239" s="200">
        <v>534</v>
      </c>
      <c r="L239" s="200">
        <v>682</v>
      </c>
      <c r="M239" s="200">
        <v>498</v>
      </c>
      <c r="N239" s="200">
        <v>373</v>
      </c>
      <c r="O239" s="200">
        <v>313</v>
      </c>
      <c r="P239" s="218">
        <f t="shared" si="130"/>
        <v>4769</v>
      </c>
    </row>
    <row r="240" spans="1:16" s="57" customFormat="1">
      <c r="A240" s="193"/>
      <c r="B240" s="200">
        <v>1665911804</v>
      </c>
      <c r="C240" s="219" t="s">
        <v>61</v>
      </c>
      <c r="D240" s="202">
        <v>7</v>
      </c>
      <c r="E240" s="202">
        <v>17</v>
      </c>
      <c r="F240" s="202">
        <v>14</v>
      </c>
      <c r="G240" s="202">
        <v>16</v>
      </c>
      <c r="H240" s="202">
        <v>10</v>
      </c>
      <c r="I240" s="202">
        <v>8</v>
      </c>
      <c r="J240" s="202">
        <v>17</v>
      </c>
      <c r="K240" s="202">
        <v>23</v>
      </c>
      <c r="L240" s="202">
        <v>3</v>
      </c>
      <c r="M240" s="202">
        <v>4</v>
      </c>
      <c r="N240" s="202">
        <v>3</v>
      </c>
      <c r="O240" s="202">
        <v>4</v>
      </c>
      <c r="P240" s="218">
        <f t="shared" si="130"/>
        <v>126</v>
      </c>
    </row>
    <row r="241" spans="1:16" s="57" customFormat="1">
      <c r="A241" s="193"/>
      <c r="B241" s="200">
        <v>3054467971</v>
      </c>
      <c r="C241" s="219" t="s">
        <v>62</v>
      </c>
      <c r="D241" s="202">
        <v>15</v>
      </c>
      <c r="E241" s="202">
        <v>27</v>
      </c>
      <c r="F241" s="202">
        <v>28</v>
      </c>
      <c r="G241" s="202">
        <v>29</v>
      </c>
      <c r="H241" s="202">
        <v>29</v>
      </c>
      <c r="I241" s="202">
        <v>22</v>
      </c>
      <c r="J241" s="202">
        <v>27</v>
      </c>
      <c r="K241" s="202">
        <v>25</v>
      </c>
      <c r="L241" s="202">
        <v>36</v>
      </c>
      <c r="M241" s="202">
        <v>34</v>
      </c>
      <c r="N241" s="202">
        <v>30</v>
      </c>
      <c r="O241" s="202">
        <v>30</v>
      </c>
      <c r="P241" s="218">
        <f t="shared" si="130"/>
        <v>332</v>
      </c>
    </row>
    <row r="242" spans="1:16" s="57" customFormat="1">
      <c r="A242" s="193"/>
      <c r="B242" s="200">
        <v>3380811569</v>
      </c>
      <c r="C242" s="219" t="s">
        <v>63</v>
      </c>
      <c r="D242" s="202">
        <v>0</v>
      </c>
      <c r="E242" s="202">
        <v>1</v>
      </c>
      <c r="F242" s="202">
        <v>1</v>
      </c>
      <c r="G242" s="202">
        <v>0</v>
      </c>
      <c r="H242" s="202">
        <v>1</v>
      </c>
      <c r="I242" s="202">
        <v>0</v>
      </c>
      <c r="J242" s="202">
        <v>1</v>
      </c>
      <c r="K242" s="202">
        <v>0</v>
      </c>
      <c r="L242" s="202">
        <v>1</v>
      </c>
      <c r="M242" s="202">
        <v>2</v>
      </c>
      <c r="N242" s="202">
        <v>1</v>
      </c>
      <c r="O242" s="202">
        <v>1</v>
      </c>
      <c r="P242" s="218">
        <f t="shared" si="130"/>
        <v>9</v>
      </c>
    </row>
    <row r="243" spans="1:16" s="57" customFormat="1">
      <c r="A243" s="193"/>
      <c r="B243" s="195"/>
      <c r="C243" s="195"/>
      <c r="D243" s="217">
        <f>SUM(D224:D242)</f>
        <v>634</v>
      </c>
      <c r="E243" s="217">
        <f t="shared" ref="E243:P243" si="131">SUM(E224:E242)</f>
        <v>1474</v>
      </c>
      <c r="F243" s="217">
        <f t="shared" si="131"/>
        <v>1336</v>
      </c>
      <c r="G243" s="217">
        <f t="shared" si="131"/>
        <v>1547</v>
      </c>
      <c r="H243" s="217">
        <f t="shared" si="131"/>
        <v>1470</v>
      </c>
      <c r="I243" s="217">
        <f t="shared" si="131"/>
        <v>814</v>
      </c>
      <c r="J243" s="217">
        <f t="shared" si="131"/>
        <v>952</v>
      </c>
      <c r="K243" s="217">
        <f t="shared" si="131"/>
        <v>1467</v>
      </c>
      <c r="L243" s="217">
        <f t="shared" si="131"/>
        <v>2054</v>
      </c>
      <c r="M243" s="217">
        <f t="shared" si="131"/>
        <v>1893</v>
      </c>
      <c r="N243" s="217">
        <f t="shared" si="131"/>
        <v>1286</v>
      </c>
      <c r="O243" s="217">
        <f t="shared" si="131"/>
        <v>1119</v>
      </c>
      <c r="P243" s="217">
        <f t="shared" si="131"/>
        <v>16046</v>
      </c>
    </row>
    <row r="244" spans="1:16" s="57" customFormat="1">
      <c r="A244" s="193"/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95"/>
      <c r="M244" s="195"/>
      <c r="N244" s="195"/>
      <c r="O244" s="195"/>
      <c r="P244" s="195"/>
    </row>
    <row r="245" spans="1:16" s="57" customFormat="1">
      <c r="A245" s="193"/>
      <c r="B245" s="195"/>
      <c r="C245" s="201" t="s">
        <v>64</v>
      </c>
      <c r="D245" s="122">
        <f>D243*1000</f>
        <v>634000</v>
      </c>
      <c r="E245" s="122">
        <f t="shared" ref="E245:P245" si="132">E243*1000</f>
        <v>1474000</v>
      </c>
      <c r="F245" s="122">
        <f t="shared" si="132"/>
        <v>1336000</v>
      </c>
      <c r="G245" s="122">
        <f t="shared" si="132"/>
        <v>1547000</v>
      </c>
      <c r="H245" s="122">
        <f t="shared" si="132"/>
        <v>1470000</v>
      </c>
      <c r="I245" s="122">
        <f t="shared" si="132"/>
        <v>814000</v>
      </c>
      <c r="J245" s="122">
        <f t="shared" si="132"/>
        <v>952000</v>
      </c>
      <c r="K245" s="122">
        <f t="shared" si="132"/>
        <v>1467000</v>
      </c>
      <c r="L245" s="122">
        <f t="shared" si="132"/>
        <v>2054000</v>
      </c>
      <c r="M245" s="122">
        <f t="shared" si="132"/>
        <v>1893000</v>
      </c>
      <c r="N245" s="122">
        <f t="shared" si="132"/>
        <v>1286000</v>
      </c>
      <c r="O245" s="122">
        <f t="shared" si="132"/>
        <v>1119000</v>
      </c>
      <c r="P245" s="122">
        <f t="shared" si="132"/>
        <v>16046000</v>
      </c>
    </row>
    <row r="246" spans="1:16" s="57" customFormat="1"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</row>
    <row r="247" spans="1:16" s="57" customFormat="1"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</row>
    <row r="248" spans="1:16" s="57" customFormat="1">
      <c r="A248" s="216" t="s">
        <v>73</v>
      </c>
      <c r="B248" s="192"/>
      <c r="C248" s="192"/>
      <c r="D248" s="192"/>
      <c r="E248" s="192"/>
      <c r="F248" s="192"/>
      <c r="G248" s="192"/>
      <c r="H248" s="192"/>
      <c r="I248" s="192"/>
      <c r="J248" s="192"/>
      <c r="K248" s="192"/>
      <c r="L248" s="192"/>
      <c r="M248" s="192"/>
      <c r="N248" s="192"/>
      <c r="O248" s="192"/>
      <c r="P248" s="192"/>
    </row>
    <row r="249" spans="1:16" s="57" customFormat="1" ht="15.75" thickBot="1">
      <c r="A249" s="206" t="s">
        <v>30</v>
      </c>
      <c r="B249" s="207" t="s">
        <v>31</v>
      </c>
      <c r="C249" s="208" t="s">
        <v>32</v>
      </c>
      <c r="D249" s="209" t="s">
        <v>33</v>
      </c>
      <c r="E249" s="210" t="s">
        <v>34</v>
      </c>
      <c r="F249" s="211" t="s">
        <v>35</v>
      </c>
      <c r="G249" s="211" t="s">
        <v>36</v>
      </c>
      <c r="H249" s="211" t="s">
        <v>37</v>
      </c>
      <c r="I249" s="211" t="s">
        <v>38</v>
      </c>
      <c r="J249" s="211" t="s">
        <v>39</v>
      </c>
      <c r="K249" s="211" t="s">
        <v>40</v>
      </c>
      <c r="L249" s="211" t="s">
        <v>41</v>
      </c>
      <c r="M249" s="211" t="s">
        <v>42</v>
      </c>
      <c r="N249" s="211" t="s">
        <v>43</v>
      </c>
      <c r="O249" s="211" t="s">
        <v>44</v>
      </c>
      <c r="P249" s="192"/>
    </row>
    <row r="250" spans="1:16" s="57" customFormat="1">
      <c r="A250" s="204"/>
      <c r="B250" s="212">
        <v>7534810685</v>
      </c>
      <c r="C250" s="215" t="s">
        <v>45</v>
      </c>
      <c r="D250" s="294">
        <f>(D224*1000)/31</f>
        <v>387.09677419354841</v>
      </c>
      <c r="E250" s="294">
        <f>(E224*1000)/28</f>
        <v>464.28571428571428</v>
      </c>
      <c r="F250" s="294">
        <f>(F224*1000)/31</f>
        <v>516.12903225806451</v>
      </c>
      <c r="G250" s="294">
        <f>(G224*1000)/30</f>
        <v>466.66666666666669</v>
      </c>
      <c r="H250" s="294">
        <f>(H224*1000)/31</f>
        <v>516.12903225806451</v>
      </c>
      <c r="I250" s="294">
        <f>(I224*1000)/30</f>
        <v>433.33333333333331</v>
      </c>
      <c r="J250" s="294">
        <f>(J224*1000)/31</f>
        <v>451.61290322580646</v>
      </c>
      <c r="K250" s="294">
        <f>(K224*1000)/31</f>
        <v>419.35483870967744</v>
      </c>
      <c r="L250" s="294">
        <f>(L224*1000)/30</f>
        <v>600</v>
      </c>
      <c r="M250" s="294">
        <f>(M224*1000)/31</f>
        <v>516.12903225806451</v>
      </c>
      <c r="N250" s="294">
        <f>(N224*1000)/30</f>
        <v>466.66666666666669</v>
      </c>
      <c r="O250" s="294">
        <f>(O224*1000)/31</f>
        <v>516.12903225806451</v>
      </c>
      <c r="P250" s="192"/>
    </row>
    <row r="251" spans="1:16" s="57" customFormat="1">
      <c r="A251" s="204"/>
      <c r="B251" s="212">
        <v>4366050935</v>
      </c>
      <c r="C251" s="215" t="s">
        <v>46</v>
      </c>
      <c r="D251" s="294">
        <f t="shared" ref="D251:D268" si="133">(D225*1000)/31</f>
        <v>387.09677419354841</v>
      </c>
      <c r="E251" s="294">
        <f t="shared" ref="E251:E268" si="134">(E225*1000)/28</f>
        <v>1500</v>
      </c>
      <c r="F251" s="294">
        <f t="shared" ref="F251:F268" si="135">(F225*1000)/31</f>
        <v>1548.3870967741937</v>
      </c>
      <c r="G251" s="294">
        <f t="shared" ref="G251:G268" si="136">(G225*1000)/30</f>
        <v>1266.6666666666667</v>
      </c>
      <c r="H251" s="294">
        <f t="shared" ref="H251:H268" si="137">(H225*1000)/31</f>
        <v>741.93548387096769</v>
      </c>
      <c r="I251" s="294">
        <f t="shared" ref="I251:I268" si="138">(I225*1000)/30</f>
        <v>33.333333333333336</v>
      </c>
      <c r="J251" s="294">
        <f t="shared" ref="J251:K251" si="139">(J225*1000)/31</f>
        <v>0</v>
      </c>
      <c r="K251" s="294">
        <f t="shared" si="139"/>
        <v>32.258064516129032</v>
      </c>
      <c r="L251" s="294">
        <f t="shared" ref="L251:L268" si="140">(L225*1000)/30</f>
        <v>900</v>
      </c>
      <c r="M251" s="294">
        <f t="shared" ref="M251:M268" si="141">(M225*1000)/31</f>
        <v>870.9677419354839</v>
      </c>
      <c r="N251" s="294">
        <f t="shared" ref="N251:N268" si="142">(N225*1000)/30</f>
        <v>733.33333333333337</v>
      </c>
      <c r="O251" s="294">
        <f t="shared" ref="O251:O268" si="143">(O225*1000)/31</f>
        <v>1096.7741935483871</v>
      </c>
      <c r="P251" s="192"/>
    </row>
    <row r="252" spans="1:16" s="57" customFormat="1">
      <c r="A252" s="204"/>
      <c r="B252" s="212">
        <v>6366050937</v>
      </c>
      <c r="C252" s="215" t="s">
        <v>47</v>
      </c>
      <c r="D252" s="294">
        <f t="shared" si="133"/>
        <v>96.774193548387103</v>
      </c>
      <c r="E252" s="294">
        <f t="shared" si="134"/>
        <v>714.28571428571433</v>
      </c>
      <c r="F252" s="294">
        <f t="shared" si="135"/>
        <v>677.41935483870964</v>
      </c>
      <c r="G252" s="294">
        <f t="shared" si="136"/>
        <v>633.33333333333337</v>
      </c>
      <c r="H252" s="294">
        <f t="shared" si="137"/>
        <v>419.35483870967744</v>
      </c>
      <c r="I252" s="294">
        <f t="shared" si="138"/>
        <v>400</v>
      </c>
      <c r="J252" s="294">
        <f t="shared" ref="J252:K252" si="144">(J226*1000)/31</f>
        <v>516.12903225806451</v>
      </c>
      <c r="K252" s="294">
        <f t="shared" si="144"/>
        <v>354.83870967741933</v>
      </c>
      <c r="L252" s="294">
        <f t="shared" si="140"/>
        <v>566.66666666666663</v>
      </c>
      <c r="M252" s="294">
        <f t="shared" si="141"/>
        <v>580.64516129032256</v>
      </c>
      <c r="N252" s="294">
        <f t="shared" si="142"/>
        <v>633.33333333333337</v>
      </c>
      <c r="O252" s="294">
        <f t="shared" si="143"/>
        <v>645.16129032258061</v>
      </c>
      <c r="P252" s="192"/>
    </row>
    <row r="253" spans="1:16" s="57" customFormat="1">
      <c r="A253" s="204"/>
      <c r="B253" s="212">
        <v>7366050938</v>
      </c>
      <c r="C253" s="215" t="s">
        <v>48</v>
      </c>
      <c r="D253" s="294">
        <f t="shared" si="133"/>
        <v>2096.7741935483873</v>
      </c>
      <c r="E253" s="294">
        <f t="shared" si="134"/>
        <v>1892.8571428571429</v>
      </c>
      <c r="F253" s="294">
        <f t="shared" si="135"/>
        <v>1709.6774193548388</v>
      </c>
      <c r="G253" s="294">
        <f t="shared" si="136"/>
        <v>1566.6666666666667</v>
      </c>
      <c r="H253" s="294">
        <f t="shared" si="137"/>
        <v>1322.5806451612902</v>
      </c>
      <c r="I253" s="294">
        <f t="shared" si="138"/>
        <v>900</v>
      </c>
      <c r="J253" s="294">
        <f t="shared" ref="J253:K253" si="145">(J227*1000)/31</f>
        <v>1064.516129032258</v>
      </c>
      <c r="K253" s="294">
        <f t="shared" si="145"/>
        <v>1000</v>
      </c>
      <c r="L253" s="294">
        <f t="shared" si="140"/>
        <v>1266.6666666666667</v>
      </c>
      <c r="M253" s="294">
        <f t="shared" si="141"/>
        <v>1806.4516129032259</v>
      </c>
      <c r="N253" s="294">
        <f t="shared" si="142"/>
        <v>1600</v>
      </c>
      <c r="O253" s="294">
        <f t="shared" si="143"/>
        <v>1064.516129032258</v>
      </c>
      <c r="P253" s="192"/>
    </row>
    <row r="254" spans="1:16" s="57" customFormat="1">
      <c r="A254" s="204"/>
      <c r="B254" s="212">
        <v>3366050934</v>
      </c>
      <c r="C254" s="215" t="s">
        <v>49</v>
      </c>
      <c r="D254" s="294">
        <f t="shared" si="133"/>
        <v>3064.516129032258</v>
      </c>
      <c r="E254" s="294">
        <f t="shared" si="134"/>
        <v>8392.8571428571431</v>
      </c>
      <c r="F254" s="294">
        <f t="shared" si="135"/>
        <v>9322.5806451612898</v>
      </c>
      <c r="G254" s="294">
        <f t="shared" si="136"/>
        <v>11166.666666666666</v>
      </c>
      <c r="H254" s="294">
        <f t="shared" si="137"/>
        <v>10096.774193548386</v>
      </c>
      <c r="I254" s="294">
        <f t="shared" si="138"/>
        <v>4266.666666666667</v>
      </c>
      <c r="J254" s="294">
        <f t="shared" ref="J254:K254" si="146">(J228*1000)/31</f>
        <v>1064.516129032258</v>
      </c>
      <c r="K254" s="294">
        <f t="shared" si="146"/>
        <v>774.19354838709683</v>
      </c>
      <c r="L254" s="294">
        <f t="shared" si="140"/>
        <v>2666.6666666666665</v>
      </c>
      <c r="M254" s="294">
        <f t="shared" si="141"/>
        <v>2612.9032258064517</v>
      </c>
      <c r="N254" s="294">
        <f t="shared" si="142"/>
        <v>2866.6666666666665</v>
      </c>
      <c r="O254" s="294">
        <f t="shared" si="143"/>
        <v>2774.1935483870966</v>
      </c>
    </row>
    <row r="255" spans="1:16" s="57" customFormat="1">
      <c r="A255" s="204"/>
      <c r="B255" s="213">
        <v>5581150299</v>
      </c>
      <c r="C255" s="215" t="s">
        <v>50</v>
      </c>
      <c r="D255" s="294">
        <f t="shared" si="133"/>
        <v>935.48387096774195</v>
      </c>
      <c r="E255" s="294">
        <f t="shared" si="134"/>
        <v>4857.1428571428569</v>
      </c>
      <c r="F255" s="294">
        <f t="shared" si="135"/>
        <v>3870.9677419354839</v>
      </c>
      <c r="G255" s="294">
        <f t="shared" si="136"/>
        <v>4566.666666666667</v>
      </c>
      <c r="H255" s="294">
        <f t="shared" si="137"/>
        <v>2612.9032258064517</v>
      </c>
      <c r="I255" s="294">
        <f t="shared" si="138"/>
        <v>333.33333333333331</v>
      </c>
      <c r="J255" s="294">
        <f t="shared" ref="J255:K255" si="147">(J229*1000)/31</f>
        <v>290.32258064516128</v>
      </c>
      <c r="K255" s="294">
        <f t="shared" si="147"/>
        <v>645.16129032258061</v>
      </c>
      <c r="L255" s="294">
        <f t="shared" si="140"/>
        <v>4200</v>
      </c>
      <c r="M255" s="294">
        <f t="shared" si="141"/>
        <v>4451.6129032258068</v>
      </c>
      <c r="N255" s="294">
        <f t="shared" si="142"/>
        <v>4600</v>
      </c>
      <c r="O255" s="294">
        <f t="shared" si="143"/>
        <v>3903.2258064516127</v>
      </c>
    </row>
    <row r="256" spans="1:16" s="57" customFormat="1">
      <c r="A256" s="204"/>
      <c r="B256" s="213">
        <v>5366050936</v>
      </c>
      <c r="C256" s="215" t="s">
        <v>51</v>
      </c>
      <c r="D256" s="294">
        <f t="shared" si="133"/>
        <v>3290.3225806451615</v>
      </c>
      <c r="E256" s="294">
        <f t="shared" si="134"/>
        <v>7714.2857142857147</v>
      </c>
      <c r="F256" s="294">
        <f t="shared" si="135"/>
        <v>806.45161290322585</v>
      </c>
      <c r="G256" s="294">
        <f t="shared" si="136"/>
        <v>700</v>
      </c>
      <c r="H256" s="294">
        <f t="shared" si="137"/>
        <v>709.67741935483866</v>
      </c>
      <c r="I256" s="294">
        <f t="shared" si="138"/>
        <v>500</v>
      </c>
      <c r="J256" s="294">
        <f t="shared" ref="J256:K256" si="148">(J230*1000)/31</f>
        <v>838.70967741935488</v>
      </c>
      <c r="K256" s="294">
        <f t="shared" si="148"/>
        <v>483.87096774193549</v>
      </c>
      <c r="L256" s="294">
        <f t="shared" si="140"/>
        <v>1200</v>
      </c>
      <c r="M256" s="294">
        <f t="shared" si="141"/>
        <v>1322.5806451612902</v>
      </c>
      <c r="N256" s="294">
        <f t="shared" si="142"/>
        <v>1300</v>
      </c>
      <c r="O256" s="294">
        <f t="shared" si="143"/>
        <v>1064.516129032258</v>
      </c>
    </row>
    <row r="257" spans="1:16" s="57" customFormat="1">
      <c r="A257" s="192"/>
      <c r="B257" s="213">
        <v>2052150585</v>
      </c>
      <c r="C257" s="215" t="s">
        <v>52</v>
      </c>
      <c r="D257" s="294">
        <f t="shared" si="133"/>
        <v>1451.6129032258063</v>
      </c>
      <c r="E257" s="294">
        <f t="shared" si="134"/>
        <v>6107.1428571428569</v>
      </c>
      <c r="F257" s="294">
        <f t="shared" si="135"/>
        <v>7129.0322580645161</v>
      </c>
      <c r="G257" s="294">
        <f t="shared" si="136"/>
        <v>9033.3333333333339</v>
      </c>
      <c r="H257" s="294">
        <f t="shared" si="137"/>
        <v>8967.7419354838712</v>
      </c>
      <c r="I257" s="294">
        <f t="shared" si="138"/>
        <v>3866.6666666666665</v>
      </c>
      <c r="J257" s="294">
        <f t="shared" ref="J257:K257" si="149">(J231*1000)/31</f>
        <v>6258.0645161290322</v>
      </c>
      <c r="K257" s="294">
        <f t="shared" si="149"/>
        <v>11645.161290322581</v>
      </c>
      <c r="L257" s="294">
        <f t="shared" si="140"/>
        <v>15933.333333333334</v>
      </c>
      <c r="M257" s="294">
        <f t="shared" si="141"/>
        <v>16580.645161290322</v>
      </c>
      <c r="N257" s="294">
        <f t="shared" si="142"/>
        <v>10066.666666666666</v>
      </c>
      <c r="O257" s="294">
        <f t="shared" si="143"/>
        <v>8612.9032258064508</v>
      </c>
    </row>
    <row r="258" spans="1:16" s="57" customFormat="1">
      <c r="A258" s="204"/>
      <c r="B258" s="213">
        <v>8635150066</v>
      </c>
      <c r="C258" s="215" t="s">
        <v>53</v>
      </c>
      <c r="D258" s="294">
        <f t="shared" si="133"/>
        <v>32.258064516129032</v>
      </c>
      <c r="E258" s="294">
        <f t="shared" si="134"/>
        <v>392.85714285714283</v>
      </c>
      <c r="F258" s="294">
        <f t="shared" si="135"/>
        <v>193.54838709677421</v>
      </c>
      <c r="G258" s="294">
        <f t="shared" si="136"/>
        <v>300</v>
      </c>
      <c r="H258" s="294">
        <f t="shared" si="137"/>
        <v>322.58064516129031</v>
      </c>
      <c r="I258" s="294">
        <f t="shared" si="138"/>
        <v>266.66666666666669</v>
      </c>
      <c r="J258" s="294">
        <f t="shared" ref="J258:K258" si="150">(J232*1000)/31</f>
        <v>96.774193548387103</v>
      </c>
      <c r="K258" s="294">
        <f t="shared" si="150"/>
        <v>129.03225806451613</v>
      </c>
      <c r="L258" s="294">
        <f t="shared" si="140"/>
        <v>966.66666666666663</v>
      </c>
      <c r="M258" s="294">
        <f t="shared" si="141"/>
        <v>645.16129032258061</v>
      </c>
      <c r="N258" s="294">
        <f t="shared" si="142"/>
        <v>100</v>
      </c>
      <c r="O258" s="294">
        <f t="shared" si="143"/>
        <v>96.774193548387103</v>
      </c>
    </row>
    <row r="259" spans="1:16" s="57" customFormat="1">
      <c r="A259" s="204"/>
      <c r="B259" s="214">
        <v>6663150208</v>
      </c>
      <c r="C259" s="215" t="s">
        <v>54</v>
      </c>
      <c r="D259" s="294">
        <f t="shared" si="133"/>
        <v>838.70967741935488</v>
      </c>
      <c r="E259" s="294">
        <f t="shared" si="134"/>
        <v>714.28571428571433</v>
      </c>
      <c r="F259" s="294">
        <f t="shared" si="135"/>
        <v>709.67741935483866</v>
      </c>
      <c r="G259" s="294">
        <f t="shared" si="136"/>
        <v>700</v>
      </c>
      <c r="H259" s="294">
        <f t="shared" si="137"/>
        <v>580.64516129032256</v>
      </c>
      <c r="I259" s="294">
        <f t="shared" si="138"/>
        <v>333.33333333333331</v>
      </c>
      <c r="J259" s="294">
        <f t="shared" ref="J259:K259" si="151">(J233*1000)/31</f>
        <v>290.32258064516128</v>
      </c>
      <c r="K259" s="294">
        <f t="shared" si="151"/>
        <v>548.38709677419354</v>
      </c>
      <c r="L259" s="294">
        <f t="shared" si="140"/>
        <v>700</v>
      </c>
      <c r="M259" s="294">
        <f t="shared" si="141"/>
        <v>1161.2903225806451</v>
      </c>
      <c r="N259" s="294">
        <f t="shared" si="142"/>
        <v>766.66666666666663</v>
      </c>
      <c r="O259" s="294">
        <f t="shared" si="143"/>
        <v>677.41935483870964</v>
      </c>
    </row>
    <row r="260" spans="1:16" s="57" customFormat="1">
      <c r="A260" s="204"/>
      <c r="B260" s="213">
        <v>6068150813</v>
      </c>
      <c r="C260" s="215" t="s">
        <v>55</v>
      </c>
      <c r="D260" s="294">
        <f t="shared" si="133"/>
        <v>193.54838709677421</v>
      </c>
      <c r="E260" s="294">
        <f t="shared" si="134"/>
        <v>857.14285714285711</v>
      </c>
      <c r="F260" s="294">
        <f t="shared" si="135"/>
        <v>645.16129032258061</v>
      </c>
      <c r="G260" s="294">
        <f t="shared" si="136"/>
        <v>1066.6666666666667</v>
      </c>
      <c r="H260" s="294">
        <f t="shared" si="137"/>
        <v>3354.8387096774195</v>
      </c>
      <c r="I260" s="294">
        <f t="shared" si="138"/>
        <v>2400</v>
      </c>
      <c r="J260" s="294">
        <f t="shared" ref="J260:K260" si="152">(J234*1000)/31</f>
        <v>3612.9032258064517</v>
      </c>
      <c r="K260" s="294">
        <f t="shared" si="152"/>
        <v>7096.7741935483873</v>
      </c>
      <c r="L260" s="294">
        <f t="shared" si="140"/>
        <v>7466.666666666667</v>
      </c>
      <c r="M260" s="294">
        <f t="shared" si="141"/>
        <v>6322.5806451612907</v>
      </c>
      <c r="N260" s="294">
        <f t="shared" si="142"/>
        <v>900</v>
      </c>
      <c r="O260" s="294">
        <f t="shared" si="143"/>
        <v>612.90322580645159</v>
      </c>
    </row>
    <row r="261" spans="1:16" s="57" customFormat="1">
      <c r="A261" s="204"/>
      <c r="B261" s="214">
        <v>5068150812</v>
      </c>
      <c r="C261" s="215" t="s">
        <v>56</v>
      </c>
      <c r="D261" s="294">
        <f t="shared" si="133"/>
        <v>225.80645161290323</v>
      </c>
      <c r="E261" s="294">
        <f t="shared" si="134"/>
        <v>642.85714285714289</v>
      </c>
      <c r="F261" s="294">
        <f t="shared" si="135"/>
        <v>322.58064516129031</v>
      </c>
      <c r="G261" s="294">
        <f t="shared" si="136"/>
        <v>366.66666666666669</v>
      </c>
      <c r="H261" s="294">
        <f t="shared" si="137"/>
        <v>258.06451612903226</v>
      </c>
      <c r="I261" s="294">
        <f t="shared" si="138"/>
        <v>200</v>
      </c>
      <c r="J261" s="294">
        <f t="shared" ref="J261:K261" si="153">(J235*1000)/31</f>
        <v>64.516129032258064</v>
      </c>
      <c r="K261" s="294">
        <f t="shared" si="153"/>
        <v>225.80645161290323</v>
      </c>
      <c r="L261" s="294">
        <f t="shared" si="140"/>
        <v>333.33333333333331</v>
      </c>
      <c r="M261" s="294">
        <f t="shared" si="141"/>
        <v>354.83870967741933</v>
      </c>
      <c r="N261" s="294">
        <f t="shared" si="142"/>
        <v>366.66666666666669</v>
      </c>
      <c r="O261" s="294">
        <f t="shared" si="143"/>
        <v>354.83870967741933</v>
      </c>
    </row>
    <row r="262" spans="1:16" s="57" customFormat="1">
      <c r="A262" s="204"/>
      <c r="B262" s="214">
        <v>2364150700</v>
      </c>
      <c r="C262" s="215" t="s">
        <v>57</v>
      </c>
      <c r="D262" s="294">
        <f t="shared" si="133"/>
        <v>967.74193548387098</v>
      </c>
      <c r="E262" s="294">
        <f t="shared" si="134"/>
        <v>1785.7142857142858</v>
      </c>
      <c r="F262" s="294">
        <f t="shared" si="135"/>
        <v>1870.9677419354839</v>
      </c>
      <c r="G262" s="294">
        <f t="shared" si="136"/>
        <v>1500</v>
      </c>
      <c r="H262" s="294">
        <f t="shared" si="137"/>
        <v>1645.1612903225807</v>
      </c>
      <c r="I262" s="294">
        <f t="shared" si="138"/>
        <v>1300</v>
      </c>
      <c r="J262" s="294">
        <f t="shared" ref="J262:K262" si="154">(J236*1000)/31</f>
        <v>1645.1612903225807</v>
      </c>
      <c r="K262" s="294">
        <f t="shared" si="154"/>
        <v>1709.6774193548388</v>
      </c>
      <c r="L262" s="294">
        <f t="shared" si="140"/>
        <v>2566.6666666666665</v>
      </c>
      <c r="M262" s="294">
        <f t="shared" si="141"/>
        <v>1870.9677419354839</v>
      </c>
      <c r="N262" s="294">
        <f t="shared" si="142"/>
        <v>2000</v>
      </c>
      <c r="O262" s="294">
        <f t="shared" si="143"/>
        <v>1290.3225806451612</v>
      </c>
    </row>
    <row r="263" spans="1:16" s="57" customFormat="1">
      <c r="A263" s="204"/>
      <c r="B263" s="214">
        <v>1364150699</v>
      </c>
      <c r="C263" s="215" t="s">
        <v>58</v>
      </c>
      <c r="D263" s="294">
        <f t="shared" si="133"/>
        <v>419.35483870967744</v>
      </c>
      <c r="E263" s="294">
        <f t="shared" si="134"/>
        <v>3428.5714285714284</v>
      </c>
      <c r="F263" s="294">
        <f t="shared" si="135"/>
        <v>1580.6451612903227</v>
      </c>
      <c r="G263" s="294">
        <f t="shared" si="136"/>
        <v>1633.3333333333333</v>
      </c>
      <c r="H263" s="294">
        <f t="shared" si="137"/>
        <v>935.48387096774195</v>
      </c>
      <c r="I263" s="294">
        <f t="shared" si="138"/>
        <v>200</v>
      </c>
      <c r="J263" s="294">
        <f t="shared" ref="J263:K263" si="155">(J237*1000)/31</f>
        <v>1419.3548387096773</v>
      </c>
      <c r="K263" s="294">
        <f t="shared" si="155"/>
        <v>3451.6129032258063</v>
      </c>
      <c r="L263" s="294">
        <f t="shared" si="140"/>
        <v>4966.666666666667</v>
      </c>
      <c r="M263" s="294">
        <f t="shared" si="141"/>
        <v>4580.6451612903229</v>
      </c>
      <c r="N263" s="294">
        <f t="shared" si="142"/>
        <v>2866.6666666666665</v>
      </c>
      <c r="O263" s="294">
        <f t="shared" si="143"/>
        <v>2096.7741935483873</v>
      </c>
    </row>
    <row r="264" spans="1:16" s="57" customFormat="1">
      <c r="A264" s="204"/>
      <c r="B264" s="213">
        <v>2068150809</v>
      </c>
      <c r="C264" s="215" t="s">
        <v>59</v>
      </c>
      <c r="D264" s="294">
        <f t="shared" si="133"/>
        <v>32.258064516129032</v>
      </c>
      <c r="E264" s="294">
        <f t="shared" si="134"/>
        <v>35.714285714285715</v>
      </c>
      <c r="F264" s="294">
        <f t="shared" si="135"/>
        <v>225.80645161290323</v>
      </c>
      <c r="G264" s="294">
        <f t="shared" si="136"/>
        <v>66.666666666666671</v>
      </c>
      <c r="H264" s="294">
        <f t="shared" si="137"/>
        <v>64.516129032258064</v>
      </c>
      <c r="I264" s="294">
        <f t="shared" si="138"/>
        <v>0</v>
      </c>
      <c r="J264" s="294">
        <f t="shared" ref="J264:K264" si="156">(J238*1000)/31</f>
        <v>32.258064516129032</v>
      </c>
      <c r="K264" s="294">
        <f t="shared" si="156"/>
        <v>32.258064516129032</v>
      </c>
      <c r="L264" s="294">
        <f t="shared" si="140"/>
        <v>66.666666666666671</v>
      </c>
      <c r="M264" s="294">
        <f t="shared" si="141"/>
        <v>32.258064516129032</v>
      </c>
      <c r="N264" s="294">
        <f t="shared" si="142"/>
        <v>33.333333333333336</v>
      </c>
      <c r="O264" s="294">
        <f t="shared" si="143"/>
        <v>64.516129032258064</v>
      </c>
    </row>
    <row r="265" spans="1:16" s="57" customFormat="1">
      <c r="A265" s="204"/>
      <c r="B265" s="213">
        <v>5756250297</v>
      </c>
      <c r="C265" s="215" t="s">
        <v>60</v>
      </c>
      <c r="D265" s="294">
        <f t="shared" si="133"/>
        <v>5322.5806451612907</v>
      </c>
      <c r="E265" s="294">
        <f t="shared" si="134"/>
        <v>11535.714285714286</v>
      </c>
      <c r="F265" s="294">
        <f t="shared" si="135"/>
        <v>10580.645161290322</v>
      </c>
      <c r="G265" s="294">
        <f t="shared" si="136"/>
        <v>15033.333333333334</v>
      </c>
      <c r="H265" s="294">
        <f t="shared" si="137"/>
        <v>13580.645161290322</v>
      </c>
      <c r="I265" s="294">
        <f t="shared" si="138"/>
        <v>10700</v>
      </c>
      <c r="J265" s="294">
        <f t="shared" ref="J265:K265" si="157">(J239*1000)/31</f>
        <v>11612.903225806451</v>
      </c>
      <c r="K265" s="294">
        <f t="shared" si="157"/>
        <v>17225.806451612902</v>
      </c>
      <c r="L265" s="294">
        <f t="shared" si="140"/>
        <v>22733.333333333332</v>
      </c>
      <c r="M265" s="294">
        <f t="shared" si="141"/>
        <v>16064.516129032258</v>
      </c>
      <c r="N265" s="294">
        <f t="shared" si="142"/>
        <v>12433.333333333334</v>
      </c>
      <c r="O265" s="294">
        <f t="shared" si="143"/>
        <v>10096.774193548386</v>
      </c>
    </row>
    <row r="266" spans="1:16" s="57" customFormat="1">
      <c r="A266" s="204"/>
      <c r="B266" s="214">
        <v>1665911804</v>
      </c>
      <c r="C266" s="215" t="s">
        <v>61</v>
      </c>
      <c r="D266" s="294">
        <f t="shared" si="133"/>
        <v>225.80645161290323</v>
      </c>
      <c r="E266" s="294">
        <f t="shared" si="134"/>
        <v>607.14285714285711</v>
      </c>
      <c r="F266" s="294">
        <f t="shared" si="135"/>
        <v>451.61290322580646</v>
      </c>
      <c r="G266" s="294">
        <f t="shared" si="136"/>
        <v>533.33333333333337</v>
      </c>
      <c r="H266" s="294">
        <f t="shared" si="137"/>
        <v>322.58064516129031</v>
      </c>
      <c r="I266" s="294">
        <f t="shared" si="138"/>
        <v>266.66666666666669</v>
      </c>
      <c r="J266" s="294">
        <f t="shared" ref="J266:K266" si="158">(J240*1000)/31</f>
        <v>548.38709677419354</v>
      </c>
      <c r="K266" s="294">
        <f t="shared" si="158"/>
        <v>741.93548387096769</v>
      </c>
      <c r="L266" s="294">
        <f t="shared" si="140"/>
        <v>100</v>
      </c>
      <c r="M266" s="294">
        <f t="shared" si="141"/>
        <v>129.03225806451613</v>
      </c>
      <c r="N266" s="294">
        <f t="shared" si="142"/>
        <v>100</v>
      </c>
      <c r="O266" s="294">
        <f t="shared" si="143"/>
        <v>129.03225806451613</v>
      </c>
    </row>
    <row r="267" spans="1:16" s="57" customFormat="1">
      <c r="A267" s="204"/>
      <c r="B267" s="214">
        <v>3054467971</v>
      </c>
      <c r="C267" s="215" t="s">
        <v>62</v>
      </c>
      <c r="D267" s="294">
        <f t="shared" si="133"/>
        <v>483.87096774193549</v>
      </c>
      <c r="E267" s="294">
        <f t="shared" si="134"/>
        <v>964.28571428571433</v>
      </c>
      <c r="F267" s="294">
        <f t="shared" si="135"/>
        <v>903.22580645161293</v>
      </c>
      <c r="G267" s="294">
        <f t="shared" si="136"/>
        <v>966.66666666666663</v>
      </c>
      <c r="H267" s="294">
        <f t="shared" si="137"/>
        <v>935.48387096774195</v>
      </c>
      <c r="I267" s="294">
        <f t="shared" si="138"/>
        <v>733.33333333333337</v>
      </c>
      <c r="J267" s="294">
        <f t="shared" ref="J267:K267" si="159">(J241*1000)/31</f>
        <v>870.9677419354839</v>
      </c>
      <c r="K267" s="294">
        <f t="shared" si="159"/>
        <v>806.45161290322585</v>
      </c>
      <c r="L267" s="294">
        <f t="shared" si="140"/>
        <v>1200</v>
      </c>
      <c r="M267" s="294">
        <f t="shared" si="141"/>
        <v>1096.7741935483871</v>
      </c>
      <c r="N267" s="294">
        <f t="shared" si="142"/>
        <v>1000</v>
      </c>
      <c r="O267" s="294">
        <f t="shared" si="143"/>
        <v>967.74193548387098</v>
      </c>
    </row>
    <row r="268" spans="1:16" s="57" customFormat="1">
      <c r="A268" s="204"/>
      <c r="B268" s="214">
        <v>3380811569</v>
      </c>
      <c r="C268" s="215" t="s">
        <v>63</v>
      </c>
      <c r="D268" s="294">
        <f t="shared" si="133"/>
        <v>0</v>
      </c>
      <c r="E268" s="294">
        <f t="shared" si="134"/>
        <v>35.714285714285715</v>
      </c>
      <c r="F268" s="294">
        <f t="shared" si="135"/>
        <v>32.258064516129032</v>
      </c>
      <c r="G268" s="294">
        <f t="shared" si="136"/>
        <v>0</v>
      </c>
      <c r="H268" s="294">
        <f t="shared" si="137"/>
        <v>32.258064516129032</v>
      </c>
      <c r="I268" s="294">
        <f t="shared" si="138"/>
        <v>0</v>
      </c>
      <c r="J268" s="294">
        <f t="shared" ref="J268:K268" si="160">(J242*1000)/31</f>
        <v>32.258064516129032</v>
      </c>
      <c r="K268" s="294">
        <f t="shared" si="160"/>
        <v>0</v>
      </c>
      <c r="L268" s="294">
        <f t="shared" si="140"/>
        <v>33.333333333333336</v>
      </c>
      <c r="M268" s="294">
        <f t="shared" si="141"/>
        <v>64.516129032258064</v>
      </c>
      <c r="N268" s="294">
        <f t="shared" si="142"/>
        <v>33.333333333333336</v>
      </c>
      <c r="O268" s="294">
        <f t="shared" si="143"/>
        <v>32.258064516129032</v>
      </c>
    </row>
    <row r="269" spans="1:16" s="57" customFormat="1">
      <c r="D269" s="205">
        <f>SUM(D250:D268)</f>
        <v>20451.612903225807</v>
      </c>
      <c r="E269" s="205">
        <f t="shared" ref="E269:O269" si="161">SUM(E250:E268)</f>
        <v>52642.85714285713</v>
      </c>
      <c r="F269" s="205">
        <f t="shared" si="161"/>
        <v>43096.774193548379</v>
      </c>
      <c r="G269" s="205">
        <f t="shared" si="161"/>
        <v>51566.666666666672</v>
      </c>
      <c r="H269" s="205">
        <f t="shared" si="161"/>
        <v>47419.354838709674</v>
      </c>
      <c r="I269" s="205">
        <f t="shared" si="161"/>
        <v>27133.333333333336</v>
      </c>
      <c r="J269" s="205">
        <f t="shared" si="161"/>
        <v>30709.677419354837</v>
      </c>
      <c r="K269" s="205">
        <f t="shared" si="161"/>
        <v>47322.580645161288</v>
      </c>
      <c r="L269" s="205">
        <f t="shared" si="161"/>
        <v>68466.666666666657</v>
      </c>
      <c r="M269" s="205">
        <f t="shared" si="161"/>
        <v>61064.516129032258</v>
      </c>
      <c r="N269" s="205">
        <f t="shared" si="161"/>
        <v>42866.666666666672</v>
      </c>
      <c r="O269" s="205">
        <f t="shared" si="161"/>
        <v>36096.774193548379</v>
      </c>
    </row>
    <row r="270" spans="1:16" s="57" customFormat="1"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</row>
    <row r="271" spans="1:16" s="57" customFormat="1">
      <c r="A271" s="79"/>
      <c r="B271" s="79"/>
      <c r="C271" s="79"/>
      <c r="D271" s="79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9"/>
    </row>
    <row r="272" spans="1:16">
      <c r="A272" s="58" t="s">
        <v>72</v>
      </c>
      <c r="B272" s="60">
        <v>2024</v>
      </c>
    </row>
    <row r="273" spans="1:16" ht="15.75" thickBot="1">
      <c r="A273" s="59" t="s">
        <v>30</v>
      </c>
      <c r="B273" s="22" t="s">
        <v>31</v>
      </c>
      <c r="C273" s="23" t="s">
        <v>32</v>
      </c>
      <c r="D273" s="24" t="s">
        <v>33</v>
      </c>
      <c r="E273" s="25" t="s">
        <v>34</v>
      </c>
      <c r="F273" s="26" t="s">
        <v>35</v>
      </c>
      <c r="G273" s="26" t="s">
        <v>36</v>
      </c>
      <c r="H273" s="26" t="s">
        <v>37</v>
      </c>
      <c r="I273" s="26" t="s">
        <v>38</v>
      </c>
      <c r="J273" s="26" t="s">
        <v>39</v>
      </c>
      <c r="K273" s="26" t="s">
        <v>40</v>
      </c>
      <c r="L273" s="26" t="s">
        <v>41</v>
      </c>
      <c r="M273" s="26" t="s">
        <v>42</v>
      </c>
      <c r="N273" s="26" t="s">
        <v>43</v>
      </c>
      <c r="O273" s="26" t="s">
        <v>44</v>
      </c>
      <c r="P273" s="198" t="s">
        <v>100</v>
      </c>
    </row>
    <row r="274" spans="1:16">
      <c r="B274" s="27">
        <v>7534810685</v>
      </c>
      <c r="C274" s="30" t="s">
        <v>45</v>
      </c>
      <c r="D274" s="31">
        <v>11</v>
      </c>
      <c r="E274" s="33">
        <v>18</v>
      </c>
      <c r="F274" s="35">
        <v>20</v>
      </c>
      <c r="G274" s="37">
        <v>19</v>
      </c>
      <c r="H274" s="39">
        <v>14</v>
      </c>
      <c r="I274" s="41">
        <v>15</v>
      </c>
      <c r="J274" s="43">
        <v>11</v>
      </c>
      <c r="K274" s="45">
        <v>11</v>
      </c>
      <c r="L274" s="47">
        <v>16</v>
      </c>
      <c r="M274" s="49">
        <v>10</v>
      </c>
      <c r="N274" s="51">
        <v>9</v>
      </c>
      <c r="O274" s="53">
        <v>8</v>
      </c>
      <c r="P274" s="218">
        <f>SUM(D274:O274)</f>
        <v>162</v>
      </c>
    </row>
    <row r="275" spans="1:16">
      <c r="B275" s="27">
        <v>4366050935</v>
      </c>
      <c r="C275" s="30" t="s">
        <v>46</v>
      </c>
      <c r="D275" s="31">
        <v>3</v>
      </c>
      <c r="E275" s="33">
        <v>23</v>
      </c>
      <c r="F275" s="35">
        <v>24</v>
      </c>
      <c r="G275" s="37">
        <v>23</v>
      </c>
      <c r="H275" s="39">
        <v>24</v>
      </c>
      <c r="I275" s="41">
        <v>17</v>
      </c>
      <c r="J275" s="43">
        <v>36</v>
      </c>
      <c r="K275" s="45">
        <v>15</v>
      </c>
      <c r="L275" s="47">
        <v>47</v>
      </c>
      <c r="M275" s="49">
        <v>47</v>
      </c>
      <c r="N275" s="51">
        <v>48</v>
      </c>
      <c r="O275" s="53">
        <v>108</v>
      </c>
      <c r="P275" s="218">
        <f>SUM(D275:O275)</f>
        <v>415</v>
      </c>
    </row>
    <row r="276" spans="1:16">
      <c r="B276" s="27">
        <v>6366050937</v>
      </c>
      <c r="C276" s="30" t="s">
        <v>47</v>
      </c>
      <c r="D276" s="31">
        <v>0</v>
      </c>
      <c r="E276" s="33">
        <v>12</v>
      </c>
      <c r="F276" s="35">
        <v>13</v>
      </c>
      <c r="G276" s="37">
        <v>13</v>
      </c>
      <c r="H276" s="39">
        <v>13</v>
      </c>
      <c r="I276" s="41">
        <v>64</v>
      </c>
      <c r="J276" s="43">
        <v>0</v>
      </c>
      <c r="K276" s="45">
        <v>1</v>
      </c>
      <c r="L276" s="47">
        <v>15</v>
      </c>
      <c r="M276" s="49">
        <v>48</v>
      </c>
      <c r="N276" s="51">
        <v>22</v>
      </c>
      <c r="O276" s="53">
        <v>20</v>
      </c>
      <c r="P276" s="218">
        <f t="shared" ref="P276:P292" si="162">SUM(D276:O276)</f>
        <v>221</v>
      </c>
    </row>
    <row r="277" spans="1:16">
      <c r="B277" s="27">
        <v>7366050938</v>
      </c>
      <c r="C277" s="30" t="s">
        <v>48</v>
      </c>
      <c r="D277" s="31">
        <v>16</v>
      </c>
      <c r="E277" s="33">
        <v>29</v>
      </c>
      <c r="F277" s="35">
        <v>26</v>
      </c>
      <c r="G277" s="37">
        <v>42</v>
      </c>
      <c r="H277" s="39">
        <v>56</v>
      </c>
      <c r="I277" s="41">
        <v>13</v>
      </c>
      <c r="J277" s="43">
        <v>19</v>
      </c>
      <c r="K277" s="45">
        <v>40</v>
      </c>
      <c r="L277" s="47">
        <v>40</v>
      </c>
      <c r="M277" s="49">
        <v>25</v>
      </c>
      <c r="N277" s="51">
        <v>36</v>
      </c>
      <c r="O277" s="53">
        <v>41</v>
      </c>
      <c r="P277" s="218">
        <f t="shared" si="162"/>
        <v>383</v>
      </c>
    </row>
    <row r="278" spans="1:16">
      <c r="B278" s="27">
        <v>3366050934</v>
      </c>
      <c r="C278" s="30" t="s">
        <v>49</v>
      </c>
      <c r="D278" s="31">
        <v>37</v>
      </c>
      <c r="E278" s="33">
        <v>98</v>
      </c>
      <c r="F278" s="35">
        <v>80</v>
      </c>
      <c r="G278" s="37">
        <v>87</v>
      </c>
      <c r="H278" s="39">
        <v>78</v>
      </c>
      <c r="I278" s="41">
        <v>23</v>
      </c>
      <c r="J278" s="43">
        <v>15</v>
      </c>
      <c r="K278" s="45">
        <v>18</v>
      </c>
      <c r="L278" s="47">
        <v>63</v>
      </c>
      <c r="M278" s="49">
        <v>99</v>
      </c>
      <c r="N278" s="51">
        <v>216</v>
      </c>
      <c r="O278" s="53">
        <v>96</v>
      </c>
      <c r="P278" s="218">
        <f t="shared" si="162"/>
        <v>910</v>
      </c>
    </row>
    <row r="279" spans="1:16">
      <c r="B279" s="28">
        <v>5581150299</v>
      </c>
      <c r="C279" s="30" t="s">
        <v>50</v>
      </c>
      <c r="D279" s="31">
        <v>7</v>
      </c>
      <c r="E279" s="33">
        <v>186</v>
      </c>
      <c r="F279" s="35">
        <v>206</v>
      </c>
      <c r="G279" s="37">
        <v>278</v>
      </c>
      <c r="H279" s="39">
        <v>223</v>
      </c>
      <c r="I279" s="41">
        <v>128</v>
      </c>
      <c r="J279" s="43">
        <v>64</v>
      </c>
      <c r="K279" s="45">
        <v>10</v>
      </c>
      <c r="L279" s="47">
        <v>122</v>
      </c>
      <c r="M279" s="49">
        <v>144</v>
      </c>
      <c r="N279" s="51">
        <v>153</v>
      </c>
      <c r="O279" s="53">
        <v>139</v>
      </c>
      <c r="P279" s="218">
        <f t="shared" si="162"/>
        <v>1660</v>
      </c>
    </row>
    <row r="280" spans="1:16">
      <c r="B280" s="28">
        <v>5366050936</v>
      </c>
      <c r="C280" s="30" t="s">
        <v>51</v>
      </c>
      <c r="D280" s="31">
        <v>7</v>
      </c>
      <c r="E280" s="33">
        <v>36</v>
      </c>
      <c r="F280" s="35">
        <v>37</v>
      </c>
      <c r="G280" s="37">
        <v>34</v>
      </c>
      <c r="H280" s="39">
        <v>39</v>
      </c>
      <c r="I280" s="41">
        <v>11</v>
      </c>
      <c r="J280" s="43">
        <v>15</v>
      </c>
      <c r="K280" s="45">
        <v>61</v>
      </c>
      <c r="L280" s="47">
        <v>82</v>
      </c>
      <c r="M280" s="49">
        <v>30</v>
      </c>
      <c r="N280" s="51">
        <v>90</v>
      </c>
      <c r="O280" s="53">
        <v>152</v>
      </c>
      <c r="P280" s="218">
        <f t="shared" si="162"/>
        <v>594</v>
      </c>
    </row>
    <row r="281" spans="1:16">
      <c r="B281" s="28">
        <v>2052150585</v>
      </c>
      <c r="C281" s="30" t="s">
        <v>52</v>
      </c>
      <c r="D281" s="31">
        <v>122</v>
      </c>
      <c r="E281" s="33">
        <v>216</v>
      </c>
      <c r="F281" s="35">
        <v>156</v>
      </c>
      <c r="G281" s="37">
        <v>165</v>
      </c>
      <c r="H281" s="39">
        <v>220</v>
      </c>
      <c r="I281" s="41">
        <v>282</v>
      </c>
      <c r="J281" s="43">
        <v>419</v>
      </c>
      <c r="K281" s="45">
        <v>403</v>
      </c>
      <c r="L281" s="47">
        <v>438</v>
      </c>
      <c r="M281" s="49">
        <v>383</v>
      </c>
      <c r="N281" s="51">
        <v>193</v>
      </c>
      <c r="O281" s="53">
        <v>112</v>
      </c>
      <c r="P281" s="218">
        <f t="shared" si="162"/>
        <v>3109</v>
      </c>
    </row>
    <row r="282" spans="1:16">
      <c r="B282" s="28">
        <v>8635150066</v>
      </c>
      <c r="C282" s="30" t="s">
        <v>53</v>
      </c>
      <c r="D282" s="31">
        <v>3</v>
      </c>
      <c r="E282" s="33">
        <v>17</v>
      </c>
      <c r="F282" s="35">
        <v>7</v>
      </c>
      <c r="G282" s="37">
        <v>4</v>
      </c>
      <c r="H282" s="39">
        <v>4</v>
      </c>
      <c r="I282" s="41">
        <v>0</v>
      </c>
      <c r="J282" s="43">
        <v>2</v>
      </c>
      <c r="K282" s="45">
        <v>1</v>
      </c>
      <c r="L282" s="47">
        <v>3</v>
      </c>
      <c r="M282" s="49">
        <v>7</v>
      </c>
      <c r="N282" s="51">
        <v>9</v>
      </c>
      <c r="O282" s="53">
        <v>7</v>
      </c>
      <c r="P282" s="218">
        <f t="shared" si="162"/>
        <v>64</v>
      </c>
    </row>
    <row r="283" spans="1:16">
      <c r="B283" s="29">
        <v>6663150208</v>
      </c>
      <c r="C283" s="30" t="s">
        <v>54</v>
      </c>
      <c r="D283" s="31">
        <v>4</v>
      </c>
      <c r="E283" s="33">
        <v>13</v>
      </c>
      <c r="F283" s="35">
        <v>15</v>
      </c>
      <c r="G283" s="37">
        <v>15</v>
      </c>
      <c r="H283" s="39">
        <v>21</v>
      </c>
      <c r="I283" s="41">
        <v>8</v>
      </c>
      <c r="J283" s="43">
        <v>6</v>
      </c>
      <c r="K283" s="45">
        <v>8</v>
      </c>
      <c r="L283" s="47">
        <v>14</v>
      </c>
      <c r="M283" s="49">
        <v>27</v>
      </c>
      <c r="N283" s="51">
        <v>22</v>
      </c>
      <c r="O283" s="53">
        <v>18</v>
      </c>
      <c r="P283" s="218">
        <f t="shared" si="162"/>
        <v>171</v>
      </c>
    </row>
    <row r="284" spans="1:16">
      <c r="B284" s="28">
        <v>6068150813</v>
      </c>
      <c r="C284" s="30" t="s">
        <v>55</v>
      </c>
      <c r="D284" s="31">
        <v>32</v>
      </c>
      <c r="E284" s="33">
        <v>26</v>
      </c>
      <c r="F284" s="35">
        <v>19</v>
      </c>
      <c r="G284" s="37">
        <v>19</v>
      </c>
      <c r="H284" s="39">
        <v>55</v>
      </c>
      <c r="I284" s="41">
        <v>176</v>
      </c>
      <c r="J284" s="43">
        <v>269</v>
      </c>
      <c r="K284" s="45">
        <v>218</v>
      </c>
      <c r="L284" s="47">
        <v>255</v>
      </c>
      <c r="M284" s="49">
        <v>173</v>
      </c>
      <c r="N284" s="51">
        <v>77</v>
      </c>
      <c r="O284" s="53">
        <v>15</v>
      </c>
      <c r="P284" s="218">
        <f t="shared" si="162"/>
        <v>1334</v>
      </c>
    </row>
    <row r="285" spans="1:16">
      <c r="B285" s="29">
        <v>5068150812</v>
      </c>
      <c r="C285" s="30" t="s">
        <v>56</v>
      </c>
      <c r="D285" s="31">
        <v>5</v>
      </c>
      <c r="E285" s="33">
        <v>12</v>
      </c>
      <c r="F285" s="35">
        <v>12</v>
      </c>
      <c r="G285" s="37">
        <v>12</v>
      </c>
      <c r="H285" s="39">
        <v>12</v>
      </c>
      <c r="I285" s="41">
        <v>6</v>
      </c>
      <c r="J285" s="43">
        <v>4</v>
      </c>
      <c r="K285" s="45">
        <v>6</v>
      </c>
      <c r="L285" s="47">
        <v>7</v>
      </c>
      <c r="M285" s="49">
        <v>9</v>
      </c>
      <c r="N285" s="51">
        <v>21</v>
      </c>
      <c r="O285" s="53">
        <v>9</v>
      </c>
      <c r="P285" s="218">
        <f t="shared" si="162"/>
        <v>115</v>
      </c>
    </row>
    <row r="286" spans="1:16">
      <c r="B286" s="29">
        <v>2364150700</v>
      </c>
      <c r="C286" s="30" t="s">
        <v>57</v>
      </c>
      <c r="D286" s="31">
        <v>19</v>
      </c>
      <c r="E286" s="33">
        <v>40</v>
      </c>
      <c r="F286" s="35">
        <v>51</v>
      </c>
      <c r="G286" s="37">
        <v>29</v>
      </c>
      <c r="H286" s="39">
        <v>30</v>
      </c>
      <c r="I286" s="41">
        <v>37</v>
      </c>
      <c r="J286" s="43">
        <v>32</v>
      </c>
      <c r="K286" s="45">
        <v>36</v>
      </c>
      <c r="L286" s="47">
        <v>56</v>
      </c>
      <c r="M286" s="49">
        <v>59</v>
      </c>
      <c r="N286" s="51">
        <v>51</v>
      </c>
      <c r="O286" s="53">
        <v>25</v>
      </c>
      <c r="P286" s="218">
        <f t="shared" si="162"/>
        <v>465</v>
      </c>
    </row>
    <row r="287" spans="1:16">
      <c r="B287" s="29">
        <v>1364150699</v>
      </c>
      <c r="C287" s="30" t="s">
        <v>58</v>
      </c>
      <c r="D287" s="31">
        <v>9</v>
      </c>
      <c r="E287" s="33">
        <v>79</v>
      </c>
      <c r="F287" s="35">
        <v>74</v>
      </c>
      <c r="G287" s="37">
        <v>93</v>
      </c>
      <c r="H287" s="39">
        <v>83</v>
      </c>
      <c r="I287" s="41">
        <v>11</v>
      </c>
      <c r="J287" s="43">
        <v>12</v>
      </c>
      <c r="K287" s="45">
        <v>95</v>
      </c>
      <c r="L287" s="47">
        <v>129</v>
      </c>
      <c r="M287" s="49">
        <v>126</v>
      </c>
      <c r="N287" s="51">
        <v>76</v>
      </c>
      <c r="O287" s="53">
        <v>51</v>
      </c>
      <c r="P287" s="218">
        <f t="shared" si="162"/>
        <v>838</v>
      </c>
    </row>
    <row r="288" spans="1:16">
      <c r="B288" s="28">
        <v>2068150809</v>
      </c>
      <c r="C288" s="30" t="s">
        <v>59</v>
      </c>
      <c r="D288" s="31">
        <v>0</v>
      </c>
      <c r="E288" s="33">
        <v>2</v>
      </c>
      <c r="F288" s="35">
        <v>2</v>
      </c>
      <c r="G288" s="37">
        <v>1</v>
      </c>
      <c r="H288" s="39">
        <v>2</v>
      </c>
      <c r="I288" s="41">
        <v>1</v>
      </c>
      <c r="J288" s="43">
        <v>1</v>
      </c>
      <c r="K288" s="45">
        <v>1</v>
      </c>
      <c r="L288" s="47">
        <v>1</v>
      </c>
      <c r="M288" s="49">
        <v>2</v>
      </c>
      <c r="N288" s="51">
        <v>1</v>
      </c>
      <c r="O288" s="53">
        <v>1</v>
      </c>
      <c r="P288" s="218">
        <f t="shared" si="162"/>
        <v>15</v>
      </c>
    </row>
    <row r="289" spans="1:16">
      <c r="B289" s="28">
        <v>5756250297</v>
      </c>
      <c r="C289" s="30" t="s">
        <v>60</v>
      </c>
      <c r="D289" s="31">
        <v>1</v>
      </c>
      <c r="E289" s="33">
        <v>3</v>
      </c>
      <c r="F289" s="35">
        <v>3</v>
      </c>
      <c r="G289" s="37">
        <v>3</v>
      </c>
      <c r="H289" s="39">
        <v>8</v>
      </c>
      <c r="I289" s="41">
        <v>2</v>
      </c>
      <c r="J289" s="43">
        <v>5</v>
      </c>
      <c r="K289" s="45">
        <v>3</v>
      </c>
      <c r="L289" s="47">
        <v>3</v>
      </c>
      <c r="M289" s="49">
        <v>3</v>
      </c>
      <c r="N289" s="51">
        <v>3</v>
      </c>
      <c r="O289" s="53">
        <v>3</v>
      </c>
      <c r="P289" s="218">
        <f t="shared" si="162"/>
        <v>40</v>
      </c>
    </row>
    <row r="290" spans="1:16">
      <c r="B290" s="29">
        <v>1665911804</v>
      </c>
      <c r="C290" s="30" t="s">
        <v>61</v>
      </c>
      <c r="D290" s="31">
        <v>94</v>
      </c>
      <c r="E290" s="33">
        <v>274</v>
      </c>
      <c r="F290" s="35">
        <v>301</v>
      </c>
      <c r="G290" s="37">
        <v>315</v>
      </c>
      <c r="H290" s="39">
        <v>345</v>
      </c>
      <c r="I290" s="41">
        <v>377</v>
      </c>
      <c r="J290" s="43">
        <v>475</v>
      </c>
      <c r="K290" s="45">
        <v>595</v>
      </c>
      <c r="L290" s="47">
        <v>701</v>
      </c>
      <c r="M290" s="49">
        <v>650</v>
      </c>
      <c r="N290" s="51">
        <v>457</v>
      </c>
      <c r="O290" s="53">
        <v>366</v>
      </c>
      <c r="P290" s="218">
        <f t="shared" si="162"/>
        <v>4950</v>
      </c>
    </row>
    <row r="291" spans="1:16">
      <c r="B291" s="29">
        <v>3054467971</v>
      </c>
      <c r="C291" s="30" t="s">
        <v>62</v>
      </c>
      <c r="D291" s="31">
        <v>14</v>
      </c>
      <c r="E291" s="33">
        <v>29</v>
      </c>
      <c r="F291" s="35">
        <v>29</v>
      </c>
      <c r="G291" s="37">
        <v>29</v>
      </c>
      <c r="H291" s="39">
        <v>38</v>
      </c>
      <c r="I291" s="41">
        <v>37</v>
      </c>
      <c r="J291" s="43">
        <v>19</v>
      </c>
      <c r="K291" s="45">
        <v>21</v>
      </c>
      <c r="L291" s="47">
        <v>28</v>
      </c>
      <c r="M291" s="49">
        <v>30</v>
      </c>
      <c r="N291" s="51">
        <v>29</v>
      </c>
      <c r="O291" s="53">
        <v>23</v>
      </c>
      <c r="P291" s="218">
        <f t="shared" si="162"/>
        <v>326</v>
      </c>
    </row>
    <row r="292" spans="1:16">
      <c r="B292" s="29">
        <v>3380811569</v>
      </c>
      <c r="C292" s="30" t="s">
        <v>63</v>
      </c>
      <c r="D292" s="31">
        <v>0</v>
      </c>
      <c r="E292" s="33">
        <v>1</v>
      </c>
      <c r="F292" s="35">
        <v>1</v>
      </c>
      <c r="G292" s="37">
        <v>0</v>
      </c>
      <c r="H292" s="39">
        <v>1</v>
      </c>
      <c r="I292" s="41">
        <v>1</v>
      </c>
      <c r="J292" s="43">
        <v>1</v>
      </c>
      <c r="K292" s="45">
        <v>1</v>
      </c>
      <c r="L292" s="47">
        <v>0</v>
      </c>
      <c r="M292" s="49">
        <v>2</v>
      </c>
      <c r="N292" s="51">
        <v>1</v>
      </c>
      <c r="O292" s="53">
        <v>1</v>
      </c>
      <c r="P292" s="218">
        <f t="shared" si="162"/>
        <v>10</v>
      </c>
    </row>
    <row r="293" spans="1:16">
      <c r="D293" s="32">
        <f>SUM(D274:D292)</f>
        <v>384</v>
      </c>
      <c r="E293" s="32">
        <f t="shared" ref="E293:P293" si="163">SUM(E274:E292)</f>
        <v>1114</v>
      </c>
      <c r="F293" s="32">
        <f t="shared" si="163"/>
        <v>1076</v>
      </c>
      <c r="G293" s="32">
        <f t="shared" si="163"/>
        <v>1181</v>
      </c>
      <c r="H293" s="32">
        <f t="shared" si="163"/>
        <v>1266</v>
      </c>
      <c r="I293" s="32">
        <f t="shared" si="163"/>
        <v>1209</v>
      </c>
      <c r="J293" s="32">
        <f t="shared" si="163"/>
        <v>1405</v>
      </c>
      <c r="K293" s="32">
        <f t="shared" si="163"/>
        <v>1544</v>
      </c>
      <c r="L293" s="32">
        <f t="shared" si="163"/>
        <v>2020</v>
      </c>
      <c r="M293" s="32">
        <f t="shared" si="163"/>
        <v>1874</v>
      </c>
      <c r="N293" s="32">
        <f t="shared" si="163"/>
        <v>1514</v>
      </c>
      <c r="O293" s="32">
        <f t="shared" si="163"/>
        <v>1195</v>
      </c>
      <c r="P293" s="32">
        <f t="shared" si="163"/>
        <v>15782</v>
      </c>
    </row>
    <row r="294" spans="1:16">
      <c r="P294" s="195"/>
    </row>
    <row r="295" spans="1:16">
      <c r="C295" s="55" t="s">
        <v>64</v>
      </c>
      <c r="D295" s="122">
        <f>D293*1000</f>
        <v>384000</v>
      </c>
      <c r="E295" s="122">
        <f t="shared" ref="E295:P295" si="164">E293*1000</f>
        <v>1114000</v>
      </c>
      <c r="F295" s="122">
        <f t="shared" si="164"/>
        <v>1076000</v>
      </c>
      <c r="G295" s="122">
        <f t="shared" si="164"/>
        <v>1181000</v>
      </c>
      <c r="H295" s="122">
        <f t="shared" si="164"/>
        <v>1266000</v>
      </c>
      <c r="I295" s="122">
        <f t="shared" si="164"/>
        <v>1209000</v>
      </c>
      <c r="J295" s="122">
        <f t="shared" si="164"/>
        <v>1405000</v>
      </c>
      <c r="K295" s="122">
        <f t="shared" si="164"/>
        <v>1544000</v>
      </c>
      <c r="L295" s="122">
        <f t="shared" si="164"/>
        <v>2020000</v>
      </c>
      <c r="M295" s="122">
        <f t="shared" si="164"/>
        <v>1874000</v>
      </c>
      <c r="N295" s="122">
        <f t="shared" si="164"/>
        <v>1514000</v>
      </c>
      <c r="O295" s="122">
        <f t="shared" si="164"/>
        <v>1195000</v>
      </c>
      <c r="P295" s="122">
        <f t="shared" si="164"/>
        <v>15782000</v>
      </c>
    </row>
    <row r="298" spans="1:16">
      <c r="A298" s="58" t="s">
        <v>73</v>
      </c>
    </row>
    <row r="299" spans="1:16" ht="15.75" thickBot="1">
      <c r="A299" s="59" t="s">
        <v>30</v>
      </c>
      <c r="B299" s="22" t="s">
        <v>31</v>
      </c>
      <c r="C299" s="23" t="s">
        <v>32</v>
      </c>
      <c r="D299" s="24" t="s">
        <v>33</v>
      </c>
      <c r="E299" s="25" t="s">
        <v>34</v>
      </c>
      <c r="F299" s="26" t="s">
        <v>35</v>
      </c>
      <c r="G299" s="26" t="s">
        <v>36</v>
      </c>
      <c r="H299" s="26" t="s">
        <v>37</v>
      </c>
      <c r="I299" s="26" t="s">
        <v>38</v>
      </c>
      <c r="J299" s="26" t="s">
        <v>39</v>
      </c>
      <c r="K299" s="26" t="s">
        <v>40</v>
      </c>
      <c r="L299" s="26" t="s">
        <v>41</v>
      </c>
      <c r="M299" s="26" t="s">
        <v>42</v>
      </c>
      <c r="N299" s="26" t="s">
        <v>43</v>
      </c>
      <c r="O299" s="26" t="s">
        <v>44</v>
      </c>
    </row>
    <row r="300" spans="1:16">
      <c r="B300" s="27">
        <v>7534810685</v>
      </c>
      <c r="C300" s="30" t="s">
        <v>45</v>
      </c>
      <c r="D300" s="294">
        <f>(D274*1000)/31</f>
        <v>354.83870967741933</v>
      </c>
      <c r="E300" s="294">
        <f>(E274*1000)/28</f>
        <v>642.85714285714289</v>
      </c>
      <c r="F300" s="294">
        <f>(F274*1000)/31</f>
        <v>645.16129032258061</v>
      </c>
      <c r="G300" s="294">
        <f>(G274*1000)/30</f>
        <v>633.33333333333337</v>
      </c>
      <c r="H300" s="294">
        <f>(H274*1000)/31</f>
        <v>451.61290322580646</v>
      </c>
      <c r="I300" s="294">
        <f>(I274*1000)/30</f>
        <v>500</v>
      </c>
      <c r="J300" s="294">
        <f>(J274*1000)/31</f>
        <v>354.83870967741933</v>
      </c>
      <c r="K300" s="294">
        <f>(K274*1000)/31</f>
        <v>354.83870967741933</v>
      </c>
      <c r="L300" s="294">
        <f>(L274*1000)/30</f>
        <v>533.33333333333337</v>
      </c>
      <c r="M300" s="294">
        <f>(M274*1000)/31</f>
        <v>322.58064516129031</v>
      </c>
      <c r="N300" s="294">
        <f>(N274*1000)/30</f>
        <v>300</v>
      </c>
      <c r="O300" s="294">
        <f>(O274*1000)/31</f>
        <v>258.06451612903226</v>
      </c>
    </row>
    <row r="301" spans="1:16">
      <c r="B301" s="27">
        <v>4366050935</v>
      </c>
      <c r="C301" s="30" t="s">
        <v>46</v>
      </c>
      <c r="D301" s="294">
        <f t="shared" ref="D301:D318" si="165">(D275*1000)/31</f>
        <v>96.774193548387103</v>
      </c>
      <c r="E301" s="294">
        <f t="shared" ref="E301:E318" si="166">(E275*1000)/28</f>
        <v>821.42857142857144</v>
      </c>
      <c r="F301" s="294">
        <f t="shared" ref="F301:F318" si="167">(F275*1000)/31</f>
        <v>774.19354838709683</v>
      </c>
      <c r="G301" s="294">
        <f t="shared" ref="G301:G318" si="168">(G275*1000)/30</f>
        <v>766.66666666666663</v>
      </c>
      <c r="H301" s="294">
        <f t="shared" ref="H301:H318" si="169">(H275*1000)/31</f>
        <v>774.19354838709683</v>
      </c>
      <c r="I301" s="294">
        <f t="shared" ref="I301:I318" si="170">(I275*1000)/30</f>
        <v>566.66666666666663</v>
      </c>
      <c r="J301" s="294">
        <f t="shared" ref="J301:K301" si="171">(J275*1000)/31</f>
        <v>1161.2903225806451</v>
      </c>
      <c r="K301" s="294">
        <f t="shared" si="171"/>
        <v>483.87096774193549</v>
      </c>
      <c r="L301" s="294">
        <f t="shared" ref="L301:L318" si="172">(L275*1000)/30</f>
        <v>1566.6666666666667</v>
      </c>
      <c r="M301" s="294">
        <f t="shared" ref="M301:M318" si="173">(M275*1000)/31</f>
        <v>1516.1290322580646</v>
      </c>
      <c r="N301" s="294">
        <f t="shared" ref="N301:N318" si="174">(N275*1000)/30</f>
        <v>1600</v>
      </c>
      <c r="O301" s="294">
        <f t="shared" ref="O301:O318" si="175">(O275*1000)/31</f>
        <v>3483.8709677419356</v>
      </c>
    </row>
    <row r="302" spans="1:16">
      <c r="B302" s="27">
        <v>6366050937</v>
      </c>
      <c r="C302" s="30" t="s">
        <v>47</v>
      </c>
      <c r="D302" s="294">
        <f t="shared" si="165"/>
        <v>0</v>
      </c>
      <c r="E302" s="294">
        <f t="shared" si="166"/>
        <v>428.57142857142856</v>
      </c>
      <c r="F302" s="294">
        <f t="shared" si="167"/>
        <v>419.35483870967744</v>
      </c>
      <c r="G302" s="294">
        <f t="shared" si="168"/>
        <v>433.33333333333331</v>
      </c>
      <c r="H302" s="294">
        <f t="shared" si="169"/>
        <v>419.35483870967744</v>
      </c>
      <c r="I302" s="294">
        <f t="shared" si="170"/>
        <v>2133.3333333333335</v>
      </c>
      <c r="J302" s="294">
        <f t="shared" ref="J302:K302" si="176">(J276*1000)/31</f>
        <v>0</v>
      </c>
      <c r="K302" s="294">
        <f t="shared" si="176"/>
        <v>32.258064516129032</v>
      </c>
      <c r="L302" s="294">
        <f t="shared" si="172"/>
        <v>500</v>
      </c>
      <c r="M302" s="294">
        <f t="shared" si="173"/>
        <v>1548.3870967741937</v>
      </c>
      <c r="N302" s="294">
        <f t="shared" si="174"/>
        <v>733.33333333333337</v>
      </c>
      <c r="O302" s="294">
        <f t="shared" si="175"/>
        <v>645.16129032258061</v>
      </c>
    </row>
    <row r="303" spans="1:16">
      <c r="B303" s="27">
        <v>7366050938</v>
      </c>
      <c r="C303" s="30" t="s">
        <v>48</v>
      </c>
      <c r="D303" s="294">
        <f t="shared" si="165"/>
        <v>516.12903225806451</v>
      </c>
      <c r="E303" s="294">
        <f t="shared" si="166"/>
        <v>1035.7142857142858</v>
      </c>
      <c r="F303" s="294">
        <f t="shared" si="167"/>
        <v>838.70967741935488</v>
      </c>
      <c r="G303" s="294">
        <f t="shared" si="168"/>
        <v>1400</v>
      </c>
      <c r="H303" s="294">
        <f t="shared" si="169"/>
        <v>1806.4516129032259</v>
      </c>
      <c r="I303" s="294">
        <f t="shared" si="170"/>
        <v>433.33333333333331</v>
      </c>
      <c r="J303" s="294">
        <f t="shared" ref="J303:K303" si="177">(J277*1000)/31</f>
        <v>612.90322580645159</v>
      </c>
      <c r="K303" s="294">
        <f t="shared" si="177"/>
        <v>1290.3225806451612</v>
      </c>
      <c r="L303" s="294">
        <f t="shared" si="172"/>
        <v>1333.3333333333333</v>
      </c>
      <c r="M303" s="294">
        <f t="shared" si="173"/>
        <v>806.45161290322585</v>
      </c>
      <c r="N303" s="294">
        <f t="shared" si="174"/>
        <v>1200</v>
      </c>
      <c r="O303" s="294">
        <f t="shared" si="175"/>
        <v>1322.5806451612902</v>
      </c>
    </row>
    <row r="304" spans="1:16">
      <c r="B304" s="27">
        <v>3366050934</v>
      </c>
      <c r="C304" s="30" t="s">
        <v>49</v>
      </c>
      <c r="D304" s="294">
        <f t="shared" si="165"/>
        <v>1193.5483870967741</v>
      </c>
      <c r="E304" s="294">
        <f t="shared" si="166"/>
        <v>3500</v>
      </c>
      <c r="F304" s="294">
        <f t="shared" si="167"/>
        <v>2580.6451612903224</v>
      </c>
      <c r="G304" s="294">
        <f t="shared" si="168"/>
        <v>2900</v>
      </c>
      <c r="H304" s="294">
        <f t="shared" si="169"/>
        <v>2516.1290322580644</v>
      </c>
      <c r="I304" s="294">
        <f t="shared" si="170"/>
        <v>766.66666666666663</v>
      </c>
      <c r="J304" s="294">
        <f t="shared" ref="J304:K304" si="178">(J278*1000)/31</f>
        <v>483.87096774193549</v>
      </c>
      <c r="K304" s="294">
        <f t="shared" si="178"/>
        <v>580.64516129032256</v>
      </c>
      <c r="L304" s="294">
        <f t="shared" si="172"/>
        <v>2100</v>
      </c>
      <c r="M304" s="294">
        <f t="shared" si="173"/>
        <v>3193.5483870967741</v>
      </c>
      <c r="N304" s="294">
        <f t="shared" si="174"/>
        <v>7200</v>
      </c>
      <c r="O304" s="294">
        <f t="shared" si="175"/>
        <v>3096.7741935483873</v>
      </c>
    </row>
    <row r="305" spans="2:15">
      <c r="B305" s="28">
        <v>5581150299</v>
      </c>
      <c r="C305" s="30" t="s">
        <v>50</v>
      </c>
      <c r="D305" s="294">
        <f t="shared" si="165"/>
        <v>225.80645161290323</v>
      </c>
      <c r="E305" s="294">
        <f t="shared" si="166"/>
        <v>6642.8571428571431</v>
      </c>
      <c r="F305" s="294">
        <f t="shared" si="167"/>
        <v>6645.1612903225805</v>
      </c>
      <c r="G305" s="294">
        <f t="shared" si="168"/>
        <v>9266.6666666666661</v>
      </c>
      <c r="H305" s="294">
        <f t="shared" si="169"/>
        <v>7193.5483870967746</v>
      </c>
      <c r="I305" s="294">
        <f t="shared" si="170"/>
        <v>4266.666666666667</v>
      </c>
      <c r="J305" s="294">
        <f t="shared" ref="J305:K305" si="179">(J279*1000)/31</f>
        <v>2064.516129032258</v>
      </c>
      <c r="K305" s="294">
        <f t="shared" si="179"/>
        <v>322.58064516129031</v>
      </c>
      <c r="L305" s="294">
        <f t="shared" si="172"/>
        <v>4066.6666666666665</v>
      </c>
      <c r="M305" s="294">
        <f t="shared" si="173"/>
        <v>4645.1612903225805</v>
      </c>
      <c r="N305" s="294">
        <f t="shared" si="174"/>
        <v>5100</v>
      </c>
      <c r="O305" s="294">
        <f t="shared" si="175"/>
        <v>4483.8709677419356</v>
      </c>
    </row>
    <row r="306" spans="2:15">
      <c r="B306" s="28">
        <v>5366050936</v>
      </c>
      <c r="C306" s="30" t="s">
        <v>51</v>
      </c>
      <c r="D306" s="294">
        <f t="shared" si="165"/>
        <v>225.80645161290323</v>
      </c>
      <c r="E306" s="294">
        <f t="shared" si="166"/>
        <v>1285.7142857142858</v>
      </c>
      <c r="F306" s="294">
        <f t="shared" si="167"/>
        <v>1193.5483870967741</v>
      </c>
      <c r="G306" s="294">
        <f t="shared" si="168"/>
        <v>1133.3333333333333</v>
      </c>
      <c r="H306" s="294">
        <f t="shared" si="169"/>
        <v>1258.0645161290322</v>
      </c>
      <c r="I306" s="294">
        <f t="shared" si="170"/>
        <v>366.66666666666669</v>
      </c>
      <c r="J306" s="294">
        <f t="shared" ref="J306:K306" si="180">(J280*1000)/31</f>
        <v>483.87096774193549</v>
      </c>
      <c r="K306" s="294">
        <f t="shared" si="180"/>
        <v>1967.741935483871</v>
      </c>
      <c r="L306" s="294">
        <f t="shared" si="172"/>
        <v>2733.3333333333335</v>
      </c>
      <c r="M306" s="294">
        <f t="shared" si="173"/>
        <v>967.74193548387098</v>
      </c>
      <c r="N306" s="294">
        <f t="shared" si="174"/>
        <v>3000</v>
      </c>
      <c r="O306" s="294">
        <f t="shared" si="175"/>
        <v>4903.2258064516127</v>
      </c>
    </row>
    <row r="307" spans="2:15">
      <c r="B307" s="28">
        <v>2052150585</v>
      </c>
      <c r="C307" s="30" t="s">
        <v>52</v>
      </c>
      <c r="D307" s="294">
        <f t="shared" si="165"/>
        <v>3935.483870967742</v>
      </c>
      <c r="E307" s="294">
        <f t="shared" si="166"/>
        <v>7714.2857142857147</v>
      </c>
      <c r="F307" s="294">
        <f t="shared" si="167"/>
        <v>5032.2580645161288</v>
      </c>
      <c r="G307" s="294">
        <f t="shared" si="168"/>
        <v>5500</v>
      </c>
      <c r="H307" s="294">
        <f t="shared" si="169"/>
        <v>7096.7741935483873</v>
      </c>
      <c r="I307" s="294">
        <f t="shared" si="170"/>
        <v>9400</v>
      </c>
      <c r="J307" s="294">
        <f t="shared" ref="J307:K307" si="181">(J281*1000)/31</f>
        <v>13516.129032258064</v>
      </c>
      <c r="K307" s="294">
        <f t="shared" si="181"/>
        <v>13000</v>
      </c>
      <c r="L307" s="294">
        <f t="shared" si="172"/>
        <v>14600</v>
      </c>
      <c r="M307" s="294">
        <f t="shared" si="173"/>
        <v>12354.838709677419</v>
      </c>
      <c r="N307" s="294">
        <f t="shared" si="174"/>
        <v>6433.333333333333</v>
      </c>
      <c r="O307" s="294">
        <f t="shared" si="175"/>
        <v>3612.9032258064517</v>
      </c>
    </row>
    <row r="308" spans="2:15">
      <c r="B308" s="28">
        <v>8635150066</v>
      </c>
      <c r="C308" s="30" t="s">
        <v>53</v>
      </c>
      <c r="D308" s="294">
        <f t="shared" si="165"/>
        <v>96.774193548387103</v>
      </c>
      <c r="E308" s="294">
        <f t="shared" si="166"/>
        <v>607.14285714285711</v>
      </c>
      <c r="F308" s="294">
        <f t="shared" si="167"/>
        <v>225.80645161290323</v>
      </c>
      <c r="G308" s="294">
        <f t="shared" si="168"/>
        <v>133.33333333333334</v>
      </c>
      <c r="H308" s="294">
        <f t="shared" si="169"/>
        <v>129.03225806451613</v>
      </c>
      <c r="I308" s="294">
        <f t="shared" si="170"/>
        <v>0</v>
      </c>
      <c r="J308" s="294">
        <f t="shared" ref="J308:K308" si="182">(J282*1000)/31</f>
        <v>64.516129032258064</v>
      </c>
      <c r="K308" s="294">
        <f t="shared" si="182"/>
        <v>32.258064516129032</v>
      </c>
      <c r="L308" s="294">
        <f t="shared" si="172"/>
        <v>100</v>
      </c>
      <c r="M308" s="294">
        <f t="shared" si="173"/>
        <v>225.80645161290323</v>
      </c>
      <c r="N308" s="294">
        <f t="shared" si="174"/>
        <v>300</v>
      </c>
      <c r="O308" s="294">
        <f t="shared" si="175"/>
        <v>225.80645161290323</v>
      </c>
    </row>
    <row r="309" spans="2:15">
      <c r="B309" s="29">
        <v>6663150208</v>
      </c>
      <c r="C309" s="30" t="s">
        <v>54</v>
      </c>
      <c r="D309" s="294">
        <f t="shared" si="165"/>
        <v>129.03225806451613</v>
      </c>
      <c r="E309" s="294">
        <f t="shared" si="166"/>
        <v>464.28571428571428</v>
      </c>
      <c r="F309" s="294">
        <f t="shared" si="167"/>
        <v>483.87096774193549</v>
      </c>
      <c r="G309" s="294">
        <f t="shared" si="168"/>
        <v>500</v>
      </c>
      <c r="H309" s="294">
        <f t="shared" si="169"/>
        <v>677.41935483870964</v>
      </c>
      <c r="I309" s="294">
        <f t="shared" si="170"/>
        <v>266.66666666666669</v>
      </c>
      <c r="J309" s="294">
        <f t="shared" ref="J309:K309" si="183">(J283*1000)/31</f>
        <v>193.54838709677421</v>
      </c>
      <c r="K309" s="294">
        <f t="shared" si="183"/>
        <v>258.06451612903226</v>
      </c>
      <c r="L309" s="294">
        <f t="shared" si="172"/>
        <v>466.66666666666669</v>
      </c>
      <c r="M309" s="294">
        <f t="shared" si="173"/>
        <v>870.9677419354839</v>
      </c>
      <c r="N309" s="294">
        <f t="shared" si="174"/>
        <v>733.33333333333337</v>
      </c>
      <c r="O309" s="294">
        <f t="shared" si="175"/>
        <v>580.64516129032256</v>
      </c>
    </row>
    <row r="310" spans="2:15">
      <c r="B310" s="28">
        <v>6068150813</v>
      </c>
      <c r="C310" s="30" t="s">
        <v>55</v>
      </c>
      <c r="D310" s="294">
        <f t="shared" si="165"/>
        <v>1032.258064516129</v>
      </c>
      <c r="E310" s="294">
        <f t="shared" si="166"/>
        <v>928.57142857142856</v>
      </c>
      <c r="F310" s="294">
        <f t="shared" si="167"/>
        <v>612.90322580645159</v>
      </c>
      <c r="G310" s="294">
        <f t="shared" si="168"/>
        <v>633.33333333333337</v>
      </c>
      <c r="H310" s="294">
        <f t="shared" si="169"/>
        <v>1774.1935483870968</v>
      </c>
      <c r="I310" s="294">
        <f t="shared" si="170"/>
        <v>5866.666666666667</v>
      </c>
      <c r="J310" s="294">
        <f t="shared" ref="J310:K310" si="184">(J284*1000)/31</f>
        <v>8677.4193548387102</v>
      </c>
      <c r="K310" s="294">
        <f t="shared" si="184"/>
        <v>7032.2580645161288</v>
      </c>
      <c r="L310" s="294">
        <f t="shared" si="172"/>
        <v>8500</v>
      </c>
      <c r="M310" s="294">
        <f t="shared" si="173"/>
        <v>5580.6451612903229</v>
      </c>
      <c r="N310" s="294">
        <f t="shared" si="174"/>
        <v>2566.6666666666665</v>
      </c>
      <c r="O310" s="294">
        <f t="shared" si="175"/>
        <v>483.87096774193549</v>
      </c>
    </row>
    <row r="311" spans="2:15">
      <c r="B311" s="29">
        <v>5068150812</v>
      </c>
      <c r="C311" s="30" t="s">
        <v>56</v>
      </c>
      <c r="D311" s="294">
        <f t="shared" si="165"/>
        <v>161.29032258064515</v>
      </c>
      <c r="E311" s="294">
        <f t="shared" si="166"/>
        <v>428.57142857142856</v>
      </c>
      <c r="F311" s="294">
        <f t="shared" si="167"/>
        <v>387.09677419354841</v>
      </c>
      <c r="G311" s="294">
        <f t="shared" si="168"/>
        <v>400</v>
      </c>
      <c r="H311" s="294">
        <f t="shared" si="169"/>
        <v>387.09677419354841</v>
      </c>
      <c r="I311" s="294">
        <f t="shared" si="170"/>
        <v>200</v>
      </c>
      <c r="J311" s="294">
        <f t="shared" ref="J311:K311" si="185">(J285*1000)/31</f>
        <v>129.03225806451613</v>
      </c>
      <c r="K311" s="294">
        <f t="shared" si="185"/>
        <v>193.54838709677421</v>
      </c>
      <c r="L311" s="294">
        <f t="shared" si="172"/>
        <v>233.33333333333334</v>
      </c>
      <c r="M311" s="294">
        <f t="shared" si="173"/>
        <v>290.32258064516128</v>
      </c>
      <c r="N311" s="294">
        <f t="shared" si="174"/>
        <v>700</v>
      </c>
      <c r="O311" s="294">
        <f t="shared" si="175"/>
        <v>290.32258064516128</v>
      </c>
    </row>
    <row r="312" spans="2:15">
      <c r="B312" s="29">
        <v>2364150700</v>
      </c>
      <c r="C312" s="30" t="s">
        <v>57</v>
      </c>
      <c r="D312" s="294">
        <f t="shared" si="165"/>
        <v>612.90322580645159</v>
      </c>
      <c r="E312" s="294">
        <f t="shared" si="166"/>
        <v>1428.5714285714287</v>
      </c>
      <c r="F312" s="294">
        <f t="shared" si="167"/>
        <v>1645.1612903225807</v>
      </c>
      <c r="G312" s="294">
        <f t="shared" si="168"/>
        <v>966.66666666666663</v>
      </c>
      <c r="H312" s="294">
        <f t="shared" si="169"/>
        <v>967.74193548387098</v>
      </c>
      <c r="I312" s="294">
        <f t="shared" si="170"/>
        <v>1233.3333333333333</v>
      </c>
      <c r="J312" s="294">
        <f t="shared" ref="J312:K312" si="186">(J286*1000)/31</f>
        <v>1032.258064516129</v>
      </c>
      <c r="K312" s="294">
        <f t="shared" si="186"/>
        <v>1161.2903225806451</v>
      </c>
      <c r="L312" s="294">
        <f t="shared" si="172"/>
        <v>1866.6666666666667</v>
      </c>
      <c r="M312" s="294">
        <f t="shared" si="173"/>
        <v>1903.2258064516129</v>
      </c>
      <c r="N312" s="294">
        <f t="shared" si="174"/>
        <v>1700</v>
      </c>
      <c r="O312" s="294">
        <f t="shared" si="175"/>
        <v>806.45161290322585</v>
      </c>
    </row>
    <row r="313" spans="2:15">
      <c r="B313" s="29">
        <v>1364150699</v>
      </c>
      <c r="C313" s="30" t="s">
        <v>58</v>
      </c>
      <c r="D313" s="294">
        <f t="shared" si="165"/>
        <v>290.32258064516128</v>
      </c>
      <c r="E313" s="294">
        <f t="shared" si="166"/>
        <v>2821.4285714285716</v>
      </c>
      <c r="F313" s="294">
        <f t="shared" si="167"/>
        <v>2387.0967741935483</v>
      </c>
      <c r="G313" s="294">
        <f t="shared" si="168"/>
        <v>3100</v>
      </c>
      <c r="H313" s="294">
        <f t="shared" si="169"/>
        <v>2677.4193548387098</v>
      </c>
      <c r="I313" s="294">
        <f t="shared" si="170"/>
        <v>366.66666666666669</v>
      </c>
      <c r="J313" s="294">
        <f t="shared" ref="J313:K313" si="187">(J287*1000)/31</f>
        <v>387.09677419354841</v>
      </c>
      <c r="K313" s="294">
        <f t="shared" si="187"/>
        <v>3064.516129032258</v>
      </c>
      <c r="L313" s="294">
        <f t="shared" si="172"/>
        <v>4300</v>
      </c>
      <c r="M313" s="294">
        <f t="shared" si="173"/>
        <v>4064.516129032258</v>
      </c>
      <c r="N313" s="294">
        <f t="shared" si="174"/>
        <v>2533.3333333333335</v>
      </c>
      <c r="O313" s="294">
        <f t="shared" si="175"/>
        <v>1645.1612903225807</v>
      </c>
    </row>
    <row r="314" spans="2:15">
      <c r="B314" s="28">
        <v>2068150809</v>
      </c>
      <c r="C314" s="30" t="s">
        <v>59</v>
      </c>
      <c r="D314" s="294">
        <f t="shared" si="165"/>
        <v>0</v>
      </c>
      <c r="E314" s="294">
        <f t="shared" si="166"/>
        <v>71.428571428571431</v>
      </c>
      <c r="F314" s="294">
        <f t="shared" si="167"/>
        <v>64.516129032258064</v>
      </c>
      <c r="G314" s="294">
        <f t="shared" si="168"/>
        <v>33.333333333333336</v>
      </c>
      <c r="H314" s="294">
        <f t="shared" si="169"/>
        <v>64.516129032258064</v>
      </c>
      <c r="I314" s="294">
        <f t="shared" si="170"/>
        <v>33.333333333333336</v>
      </c>
      <c r="J314" s="294">
        <f t="shared" ref="J314:K314" si="188">(J288*1000)/31</f>
        <v>32.258064516129032</v>
      </c>
      <c r="K314" s="294">
        <f t="shared" si="188"/>
        <v>32.258064516129032</v>
      </c>
      <c r="L314" s="294">
        <f t="shared" si="172"/>
        <v>33.333333333333336</v>
      </c>
      <c r="M314" s="294">
        <f t="shared" si="173"/>
        <v>64.516129032258064</v>
      </c>
      <c r="N314" s="294">
        <f t="shared" si="174"/>
        <v>33.333333333333336</v>
      </c>
      <c r="O314" s="294">
        <f t="shared" si="175"/>
        <v>32.258064516129032</v>
      </c>
    </row>
    <row r="315" spans="2:15">
      <c r="B315" s="28">
        <v>5756250297</v>
      </c>
      <c r="C315" s="30" t="s">
        <v>60</v>
      </c>
      <c r="D315" s="294">
        <f t="shared" si="165"/>
        <v>32.258064516129032</v>
      </c>
      <c r="E315" s="294">
        <f t="shared" si="166"/>
        <v>107.14285714285714</v>
      </c>
      <c r="F315" s="294">
        <f t="shared" si="167"/>
        <v>96.774193548387103</v>
      </c>
      <c r="G315" s="294">
        <f t="shared" si="168"/>
        <v>100</v>
      </c>
      <c r="H315" s="294">
        <f t="shared" si="169"/>
        <v>258.06451612903226</v>
      </c>
      <c r="I315" s="294">
        <f t="shared" si="170"/>
        <v>66.666666666666671</v>
      </c>
      <c r="J315" s="294">
        <f t="shared" ref="J315:K315" si="189">(J289*1000)/31</f>
        <v>161.29032258064515</v>
      </c>
      <c r="K315" s="294">
        <f t="shared" si="189"/>
        <v>96.774193548387103</v>
      </c>
      <c r="L315" s="294">
        <f t="shared" si="172"/>
        <v>100</v>
      </c>
      <c r="M315" s="294">
        <f t="shared" si="173"/>
        <v>96.774193548387103</v>
      </c>
      <c r="N315" s="294">
        <f t="shared" si="174"/>
        <v>100</v>
      </c>
      <c r="O315" s="294">
        <f t="shared" si="175"/>
        <v>96.774193548387103</v>
      </c>
    </row>
    <row r="316" spans="2:15">
      <c r="B316" s="29">
        <v>1665911804</v>
      </c>
      <c r="C316" s="30" t="s">
        <v>61</v>
      </c>
      <c r="D316" s="294">
        <f t="shared" si="165"/>
        <v>3032.2580645161293</v>
      </c>
      <c r="E316" s="294">
        <f t="shared" si="166"/>
        <v>9785.7142857142862</v>
      </c>
      <c r="F316" s="294">
        <f t="shared" si="167"/>
        <v>9709.677419354839</v>
      </c>
      <c r="G316" s="294">
        <f t="shared" si="168"/>
        <v>10500</v>
      </c>
      <c r="H316" s="294">
        <f t="shared" si="169"/>
        <v>11129.032258064517</v>
      </c>
      <c r="I316" s="294">
        <f t="shared" si="170"/>
        <v>12566.666666666666</v>
      </c>
      <c r="J316" s="294">
        <f t="shared" ref="J316:K316" si="190">(J290*1000)/31</f>
        <v>15322.58064516129</v>
      </c>
      <c r="K316" s="294">
        <f t="shared" si="190"/>
        <v>19193.548387096773</v>
      </c>
      <c r="L316" s="294">
        <f t="shared" si="172"/>
        <v>23366.666666666668</v>
      </c>
      <c r="M316" s="294">
        <f t="shared" si="173"/>
        <v>20967.741935483871</v>
      </c>
      <c r="N316" s="294">
        <f t="shared" si="174"/>
        <v>15233.333333333334</v>
      </c>
      <c r="O316" s="294">
        <f t="shared" si="175"/>
        <v>11806.451612903225</v>
      </c>
    </row>
    <row r="317" spans="2:15">
      <c r="B317" s="29">
        <v>3054467971</v>
      </c>
      <c r="C317" s="30" t="s">
        <v>62</v>
      </c>
      <c r="D317" s="294">
        <f t="shared" si="165"/>
        <v>451.61290322580646</v>
      </c>
      <c r="E317" s="294">
        <f t="shared" si="166"/>
        <v>1035.7142857142858</v>
      </c>
      <c r="F317" s="294">
        <f t="shared" si="167"/>
        <v>935.48387096774195</v>
      </c>
      <c r="G317" s="294">
        <f t="shared" si="168"/>
        <v>966.66666666666663</v>
      </c>
      <c r="H317" s="294">
        <f t="shared" si="169"/>
        <v>1225.8064516129032</v>
      </c>
      <c r="I317" s="294">
        <f t="shared" si="170"/>
        <v>1233.3333333333333</v>
      </c>
      <c r="J317" s="294">
        <f t="shared" ref="J317:K317" si="191">(J291*1000)/31</f>
        <v>612.90322580645159</v>
      </c>
      <c r="K317" s="294">
        <f t="shared" si="191"/>
        <v>677.41935483870964</v>
      </c>
      <c r="L317" s="294">
        <f t="shared" si="172"/>
        <v>933.33333333333337</v>
      </c>
      <c r="M317" s="294">
        <f t="shared" si="173"/>
        <v>967.74193548387098</v>
      </c>
      <c r="N317" s="294">
        <f t="shared" si="174"/>
        <v>966.66666666666663</v>
      </c>
      <c r="O317" s="294">
        <f t="shared" si="175"/>
        <v>741.93548387096769</v>
      </c>
    </row>
    <row r="318" spans="2:15">
      <c r="B318" s="29">
        <v>3380811569</v>
      </c>
      <c r="C318" s="30" t="s">
        <v>63</v>
      </c>
      <c r="D318" s="294">
        <f t="shared" si="165"/>
        <v>0</v>
      </c>
      <c r="E318" s="294">
        <f t="shared" si="166"/>
        <v>35.714285714285715</v>
      </c>
      <c r="F318" s="294">
        <f t="shared" si="167"/>
        <v>32.258064516129032</v>
      </c>
      <c r="G318" s="294">
        <f t="shared" si="168"/>
        <v>0</v>
      </c>
      <c r="H318" s="294">
        <f t="shared" si="169"/>
        <v>32.258064516129032</v>
      </c>
      <c r="I318" s="294">
        <f t="shared" si="170"/>
        <v>33.333333333333336</v>
      </c>
      <c r="J318" s="294">
        <f t="shared" ref="J318:K318" si="192">(J292*1000)/31</f>
        <v>32.258064516129032</v>
      </c>
      <c r="K318" s="294">
        <f t="shared" si="192"/>
        <v>32.258064516129032</v>
      </c>
      <c r="L318" s="294">
        <f t="shared" si="172"/>
        <v>0</v>
      </c>
      <c r="M318" s="294">
        <f t="shared" si="173"/>
        <v>64.516129032258064</v>
      </c>
      <c r="N318" s="294">
        <f t="shared" si="174"/>
        <v>33.333333333333336</v>
      </c>
      <c r="O318" s="294">
        <f t="shared" si="175"/>
        <v>32.258064516129032</v>
      </c>
    </row>
    <row r="319" spans="2:15">
      <c r="D319" s="9">
        <f>SUM(D300:D318)</f>
        <v>12387.096774193547</v>
      </c>
      <c r="E319" s="9">
        <f t="shared" ref="E319:O319" si="193">SUM(E300:E318)</f>
        <v>39785.714285714283</v>
      </c>
      <c r="F319" s="9">
        <f t="shared" si="193"/>
        <v>34709.677419354834</v>
      </c>
      <c r="G319" s="9">
        <f t="shared" si="193"/>
        <v>39366.666666666664</v>
      </c>
      <c r="H319" s="9">
        <f t="shared" si="193"/>
        <v>40838.709677419356</v>
      </c>
      <c r="I319" s="9">
        <f t="shared" si="193"/>
        <v>40300.000000000007</v>
      </c>
      <c r="J319" s="9">
        <f t="shared" si="193"/>
        <v>45322.580645161295</v>
      </c>
      <c r="K319" s="9">
        <f t="shared" si="193"/>
        <v>49806.45161290322</v>
      </c>
      <c r="L319" s="9">
        <f t="shared" si="193"/>
        <v>67333.333333333328</v>
      </c>
      <c r="M319" s="9">
        <f t="shared" si="193"/>
        <v>60451.612903225803</v>
      </c>
      <c r="N319" s="9">
        <f t="shared" si="193"/>
        <v>50466.666666666672</v>
      </c>
      <c r="O319" s="9">
        <f t="shared" si="193"/>
        <v>38548.387096774197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Flows &amp; Loadings Calculation</vt:lpstr>
      <vt:lpstr>Corrected Flows &amp; Loadings</vt:lpstr>
      <vt:lpstr>Unit Charges</vt:lpstr>
      <vt:lpstr>Regis</vt:lpstr>
      <vt:lpstr>Regis Daily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Berkeley Main</cp:lastModifiedBy>
  <cp:lastPrinted>2025-07-09T16:09:37Z</cp:lastPrinted>
  <dcterms:created xsi:type="dcterms:W3CDTF">2025-05-01T16:15:37Z</dcterms:created>
  <dcterms:modified xsi:type="dcterms:W3CDTF">2025-07-10T17:25:25Z</dcterms:modified>
</cp:coreProperties>
</file>